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udget Performance\2023 June\"/>
    </mc:Choice>
  </mc:AlternateContent>
  <bookViews>
    <workbookView xWindow="0" yWindow="0" windowWidth="23040" windowHeight="8496"/>
  </bookViews>
  <sheets>
    <sheet name="AURELCO" sheetId="2" r:id="rId1"/>
    <sheet name="NEECO I" sheetId="3" r:id="rId2"/>
    <sheet name="NEECO II A1" sheetId="4" r:id="rId3"/>
    <sheet name="NEECO II A2" sheetId="5" r:id="rId4"/>
    <sheet name="PELCO I" sheetId="6" r:id="rId5"/>
    <sheet name="PELCO II" sheetId="7" r:id="rId6"/>
    <sheet name="PELCO III" sheetId="8" r:id="rId7"/>
    <sheet name="PENELCO" sheetId="9" r:id="rId8"/>
    <sheet name="PRESCO" sheetId="10" r:id="rId9"/>
    <sheet name="SAJELCO" sheetId="11" r:id="rId10"/>
    <sheet name="TARELCO 1" sheetId="12" r:id="rId11"/>
    <sheet name="TARELCO 1I" sheetId="13" r:id="rId12"/>
    <sheet name="ZAMECO I" sheetId="14" r:id="rId13"/>
    <sheet name="ZAMECO II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xlnm.Print_Titles" localSheetId="0">AURELCO!$1:$12</definedName>
    <definedName name="_xlnm.Print_Titles" localSheetId="1">'NEECO I'!$1:$12</definedName>
    <definedName name="_xlnm.Print_Titles" localSheetId="2">'NEECO II A1'!$1:$12</definedName>
    <definedName name="_xlnm.Print_Titles" localSheetId="3">'NEECO II A2'!$1:$12</definedName>
    <definedName name="_xlnm.Print_Titles" localSheetId="4">'PELCO I'!$1:$12</definedName>
    <definedName name="_xlnm.Print_Titles" localSheetId="5">'PELCO II'!$1:$12</definedName>
    <definedName name="_xlnm.Print_Titles" localSheetId="6">'PELCO III'!$1:$12</definedName>
    <definedName name="_xlnm.Print_Titles" localSheetId="7">PENELCO!$1:$12</definedName>
    <definedName name="_xlnm.Print_Titles" localSheetId="8">PRESCO!$1:$12</definedName>
    <definedName name="_xlnm.Print_Titles" localSheetId="9">SAJELCO!$1:$12</definedName>
    <definedName name="_xlnm.Print_Titles" localSheetId="10">'TARELCO 1'!$1:$12</definedName>
    <definedName name="_xlnm.Print_Titles" localSheetId="11">'TARELCO 1I'!$1:$12</definedName>
    <definedName name="_xlnm.Print_Titles" localSheetId="12">'ZAMECO I'!$1:$12</definedName>
    <definedName name="_xlnm.Print_Titles" localSheetId="13">'ZAMECO II'!$1:$12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15" l="1"/>
  <c r="B97" i="15"/>
  <c r="D97" i="15" s="1"/>
  <c r="E97" i="15" s="1"/>
  <c r="B96" i="15"/>
  <c r="B95" i="15"/>
  <c r="B94" i="15"/>
  <c r="D94" i="15" s="1"/>
  <c r="E94" i="15" s="1"/>
  <c r="D93" i="15"/>
  <c r="E93" i="15" s="1"/>
  <c r="B93" i="15"/>
  <c r="B92" i="15"/>
  <c r="D92" i="15" s="1"/>
  <c r="E92" i="15" s="1"/>
  <c r="B91" i="15"/>
  <c r="B86" i="15"/>
  <c r="D86" i="15" s="1"/>
  <c r="E86" i="15" s="1"/>
  <c r="B85" i="15"/>
  <c r="D85" i="15" s="1"/>
  <c r="E85" i="15" s="1"/>
  <c r="B84" i="15"/>
  <c r="B81" i="15"/>
  <c r="B80" i="15"/>
  <c r="D79" i="15"/>
  <c r="E79" i="15" s="1"/>
  <c r="B79" i="15"/>
  <c r="B78" i="15"/>
  <c r="D78" i="15" s="1"/>
  <c r="E78" i="15" s="1"/>
  <c r="B77" i="15"/>
  <c r="D77" i="15" s="1"/>
  <c r="E77" i="15" s="1"/>
  <c r="B76" i="15"/>
  <c r="D76" i="15" s="1"/>
  <c r="E76" i="15" s="1"/>
  <c r="B75" i="15"/>
  <c r="D75" i="15" s="1"/>
  <c r="E75" i="15" s="1"/>
  <c r="B74" i="15"/>
  <c r="D74" i="15" s="1"/>
  <c r="E74" i="15" s="1"/>
  <c r="B73" i="15"/>
  <c r="B72" i="15"/>
  <c r="D72" i="15" s="1"/>
  <c r="E72" i="15" s="1"/>
  <c r="B71" i="15"/>
  <c r="B70" i="15"/>
  <c r="B67" i="15"/>
  <c r="D67" i="15" s="1"/>
  <c r="E67" i="15" s="1"/>
  <c r="B66" i="15"/>
  <c r="D66" i="15" s="1"/>
  <c r="E66" i="15" s="1"/>
  <c r="B65" i="15"/>
  <c r="B64" i="15"/>
  <c r="B68" i="15" s="1"/>
  <c r="D63" i="15"/>
  <c r="E63" i="15" s="1"/>
  <c r="B63" i="15"/>
  <c r="B61" i="15"/>
  <c r="D61" i="15" s="1"/>
  <c r="E61" i="15" s="1"/>
  <c r="B60" i="15"/>
  <c r="B59" i="15"/>
  <c r="D59" i="15" s="1"/>
  <c r="E59" i="15" s="1"/>
  <c r="B58" i="15"/>
  <c r="D58" i="15" s="1"/>
  <c r="E58" i="15" s="1"/>
  <c r="B57" i="15"/>
  <c r="D57" i="15" s="1"/>
  <c r="E57" i="15" s="1"/>
  <c r="B56" i="15"/>
  <c r="D56" i="15" s="1"/>
  <c r="E56" i="15" s="1"/>
  <c r="B55" i="15"/>
  <c r="B54" i="15"/>
  <c r="D54" i="15" s="1"/>
  <c r="E54" i="15" s="1"/>
  <c r="B53" i="15"/>
  <c r="D52" i="15"/>
  <c r="E52" i="15" s="1"/>
  <c r="B52" i="15"/>
  <c r="B51" i="15"/>
  <c r="D51" i="15" s="1"/>
  <c r="E51" i="15" s="1"/>
  <c r="B50" i="15"/>
  <c r="D50" i="15" s="1"/>
  <c r="E50" i="15" s="1"/>
  <c r="B49" i="15"/>
  <c r="B48" i="15"/>
  <c r="B47" i="15"/>
  <c r="D47" i="15" s="1"/>
  <c r="E47" i="15" s="1"/>
  <c r="B46" i="15"/>
  <c r="B45" i="15"/>
  <c r="B42" i="15"/>
  <c r="B41" i="15"/>
  <c r="B40" i="15"/>
  <c r="B39" i="15"/>
  <c r="D39" i="15" s="1"/>
  <c r="E39" i="15" s="1"/>
  <c r="B38" i="15"/>
  <c r="D38" i="15" s="1"/>
  <c r="E38" i="15" s="1"/>
  <c r="B37" i="15"/>
  <c r="D37" i="15" s="1"/>
  <c r="E37" i="15" s="1"/>
  <c r="B36" i="15"/>
  <c r="D36" i="15" s="1"/>
  <c r="E36" i="15" s="1"/>
  <c r="B35" i="15"/>
  <c r="D35" i="15" s="1"/>
  <c r="E35" i="15" s="1"/>
  <c r="B34" i="15"/>
  <c r="B33" i="15"/>
  <c r="B32" i="15"/>
  <c r="D32" i="15" s="1"/>
  <c r="E32" i="15" s="1"/>
  <c r="B31" i="15"/>
  <c r="D31" i="15" s="1"/>
  <c r="E31" i="15" s="1"/>
  <c r="B30" i="15"/>
  <c r="B29" i="15"/>
  <c r="B28" i="15"/>
  <c r="B27" i="15"/>
  <c r="D27" i="15" s="1"/>
  <c r="E27" i="15" s="1"/>
  <c r="B26" i="15"/>
  <c r="D26" i="15" s="1"/>
  <c r="E26" i="15" s="1"/>
  <c r="B25" i="15"/>
  <c r="D25" i="15" s="1"/>
  <c r="E25" i="15" s="1"/>
  <c r="B24" i="15"/>
  <c r="D24" i="15" s="1"/>
  <c r="E24" i="15" s="1"/>
  <c r="B23" i="15"/>
  <c r="D23" i="15" s="1"/>
  <c r="E23" i="15" s="1"/>
  <c r="B22" i="15"/>
  <c r="D22" i="15" s="1"/>
  <c r="E22" i="15" s="1"/>
  <c r="B21" i="15"/>
  <c r="B20" i="15"/>
  <c r="B19" i="15"/>
  <c r="D18" i="15"/>
  <c r="E18" i="15" s="1"/>
  <c r="B18" i="15"/>
  <c r="B17" i="15"/>
  <c r="B16" i="15"/>
  <c r="B13" i="15"/>
  <c r="B9" i="15"/>
  <c r="D64" i="15" l="1"/>
  <c r="E64" i="15" s="1"/>
  <c r="B82" i="15"/>
  <c r="B98" i="15"/>
  <c r="D19" i="15"/>
  <c r="E19" i="15" s="1"/>
  <c r="D20" i="15"/>
  <c r="E20" i="15" s="1"/>
  <c r="D71" i="15"/>
  <c r="E71" i="15" s="1"/>
  <c r="D30" i="15"/>
  <c r="E30" i="15" s="1"/>
  <c r="D29" i="15"/>
  <c r="E29" i="15" s="1"/>
  <c r="D45" i="15"/>
  <c r="E45" i="15" s="1"/>
  <c r="D33" i="15"/>
  <c r="E33" i="15" s="1"/>
  <c r="D34" i="15"/>
  <c r="E34" i="15" s="1"/>
  <c r="D17" i="15"/>
  <c r="E17" i="15" s="1"/>
  <c r="D41" i="15"/>
  <c r="E41" i="15" s="1"/>
  <c r="B87" i="15"/>
  <c r="B88" i="15" s="1"/>
  <c r="D87" i="15"/>
  <c r="E87" i="15" s="1"/>
  <c r="D84" i="15"/>
  <c r="E84" i="15" s="1"/>
  <c r="D81" i="15"/>
  <c r="E81" i="15" s="1"/>
  <c r="D21" i="15"/>
  <c r="E21" i="15" s="1"/>
  <c r="D49" i="15"/>
  <c r="E49" i="15" s="1"/>
  <c r="D65" i="15"/>
  <c r="E65" i="15" s="1"/>
  <c r="D96" i="15"/>
  <c r="E96" i="15" s="1"/>
  <c r="D40" i="15"/>
  <c r="E40" i="15" s="1"/>
  <c r="D80" i="15"/>
  <c r="E80" i="15" s="1"/>
  <c r="D60" i="15"/>
  <c r="E60" i="15" s="1"/>
  <c r="D73" i="15"/>
  <c r="E73" i="15" s="1"/>
  <c r="D95" i="15"/>
  <c r="E95" i="15" s="1"/>
  <c r="D48" i="15"/>
  <c r="E48" i="15" s="1"/>
  <c r="D55" i="15"/>
  <c r="E55" i="15" s="1"/>
  <c r="B100" i="14"/>
  <c r="B97" i="14"/>
  <c r="D97" i="14" s="1"/>
  <c r="E97" i="14" s="1"/>
  <c r="B96" i="14"/>
  <c r="B95" i="14"/>
  <c r="B94" i="14"/>
  <c r="D94" i="14" s="1"/>
  <c r="E94" i="14" s="1"/>
  <c r="D93" i="14"/>
  <c r="E93" i="14" s="1"/>
  <c r="B93" i="14"/>
  <c r="B92" i="14"/>
  <c r="B91" i="14"/>
  <c r="D91" i="14" s="1"/>
  <c r="E91" i="14" s="1"/>
  <c r="B86" i="14"/>
  <c r="D86" i="14" s="1"/>
  <c r="E86" i="14" s="1"/>
  <c r="B85" i="14"/>
  <c r="B84" i="14"/>
  <c r="B87" i="14" s="1"/>
  <c r="B81" i="14"/>
  <c r="B80" i="14"/>
  <c r="D80" i="14" s="1"/>
  <c r="E80" i="14" s="1"/>
  <c r="B79" i="14"/>
  <c r="B78" i="14"/>
  <c r="D78" i="14" s="1"/>
  <c r="E78" i="14" s="1"/>
  <c r="B77" i="14"/>
  <c r="D77" i="14" s="1"/>
  <c r="E77" i="14" s="1"/>
  <c r="B76" i="14"/>
  <c r="D76" i="14" s="1"/>
  <c r="E76" i="14" s="1"/>
  <c r="B75" i="14"/>
  <c r="D75" i="14" s="1"/>
  <c r="E75" i="14" s="1"/>
  <c r="B74" i="14"/>
  <c r="D74" i="14" s="1"/>
  <c r="E74" i="14" s="1"/>
  <c r="B73" i="14"/>
  <c r="D72" i="14"/>
  <c r="E72" i="14" s="1"/>
  <c r="B72" i="14"/>
  <c r="B71" i="14"/>
  <c r="D71" i="14" s="1"/>
  <c r="E71" i="14" s="1"/>
  <c r="B70" i="14"/>
  <c r="B67" i="14"/>
  <c r="B66" i="14"/>
  <c r="D66" i="14" s="1"/>
  <c r="E66" i="14" s="1"/>
  <c r="B65" i="14"/>
  <c r="D65" i="14" s="1"/>
  <c r="E65" i="14" s="1"/>
  <c r="B64" i="14"/>
  <c r="B68" i="14" s="1"/>
  <c r="D63" i="14"/>
  <c r="E63" i="14" s="1"/>
  <c r="B63" i="14"/>
  <c r="B61" i="14"/>
  <c r="D61" i="14" s="1"/>
  <c r="E61" i="14" s="1"/>
  <c r="B60" i="14"/>
  <c r="D60" i="14" s="1"/>
  <c r="E60" i="14" s="1"/>
  <c r="B59" i="14"/>
  <c r="B58" i="14"/>
  <c r="D58" i="14" s="1"/>
  <c r="E58" i="14" s="1"/>
  <c r="B57" i="14"/>
  <c r="D57" i="14" s="1"/>
  <c r="E57" i="14" s="1"/>
  <c r="B56" i="14"/>
  <c r="D56" i="14" s="1"/>
  <c r="E56" i="14" s="1"/>
  <c r="B55" i="14"/>
  <c r="B54" i="14"/>
  <c r="D54" i="14" s="1"/>
  <c r="E54" i="14" s="1"/>
  <c r="B53" i="14"/>
  <c r="D52" i="14"/>
  <c r="E52" i="14" s="1"/>
  <c r="B52" i="14"/>
  <c r="B51" i="14"/>
  <c r="D51" i="14" s="1"/>
  <c r="E51" i="14" s="1"/>
  <c r="B50" i="14"/>
  <c r="D50" i="14" s="1"/>
  <c r="E50" i="14" s="1"/>
  <c r="B49" i="14"/>
  <c r="B48" i="14"/>
  <c r="D48" i="14" s="1"/>
  <c r="E48" i="14" s="1"/>
  <c r="B47" i="14"/>
  <c r="D47" i="14" s="1"/>
  <c r="E47" i="14" s="1"/>
  <c r="B46" i="14"/>
  <c r="B45" i="14"/>
  <c r="B42" i="14"/>
  <c r="B41" i="14"/>
  <c r="D41" i="14" s="1"/>
  <c r="E41" i="14" s="1"/>
  <c r="D40" i="14"/>
  <c r="E40" i="14" s="1"/>
  <c r="B40" i="14"/>
  <c r="B39" i="14"/>
  <c r="D39" i="14" s="1"/>
  <c r="E39" i="14" s="1"/>
  <c r="B38" i="14"/>
  <c r="B37" i="14"/>
  <c r="D37" i="14" s="1"/>
  <c r="E37" i="14" s="1"/>
  <c r="B36" i="14"/>
  <c r="D36" i="14" s="1"/>
  <c r="E36" i="14" s="1"/>
  <c r="B35" i="14"/>
  <c r="B34" i="14"/>
  <c r="B33" i="14"/>
  <c r="D32" i="14"/>
  <c r="E32" i="14" s="1"/>
  <c r="B32" i="14"/>
  <c r="B31" i="14"/>
  <c r="D31" i="14" s="1"/>
  <c r="E31" i="14" s="1"/>
  <c r="B30" i="14"/>
  <c r="D30" i="14" s="1"/>
  <c r="E30" i="14" s="1"/>
  <c r="B29" i="14"/>
  <c r="D29" i="14" s="1"/>
  <c r="E29" i="14" s="1"/>
  <c r="B28" i="14"/>
  <c r="D28" i="14" s="1"/>
  <c r="E28" i="14" s="1"/>
  <c r="B27" i="14"/>
  <c r="D26" i="14"/>
  <c r="E26" i="14" s="1"/>
  <c r="B26" i="14"/>
  <c r="B25" i="14"/>
  <c r="D25" i="14" s="1"/>
  <c r="E25" i="14" s="1"/>
  <c r="B24" i="14"/>
  <c r="D24" i="14" s="1"/>
  <c r="E24" i="14" s="1"/>
  <c r="B23" i="14"/>
  <c r="D23" i="14" s="1"/>
  <c r="E23" i="14" s="1"/>
  <c r="B22" i="14"/>
  <c r="D22" i="14" s="1"/>
  <c r="E22" i="14" s="1"/>
  <c r="B21" i="14"/>
  <c r="B20" i="14"/>
  <c r="D20" i="14" s="1"/>
  <c r="E20" i="14" s="1"/>
  <c r="B19" i="14"/>
  <c r="B18" i="14"/>
  <c r="D18" i="14" s="1"/>
  <c r="E18" i="14" s="1"/>
  <c r="B17" i="14"/>
  <c r="B16" i="14"/>
  <c r="B13" i="14"/>
  <c r="B9" i="14"/>
  <c r="B99" i="15" l="1"/>
  <c r="B101" i="15" s="1"/>
  <c r="D64" i="14"/>
  <c r="E64" i="14" s="1"/>
  <c r="B98" i="14"/>
  <c r="B82" i="14"/>
  <c r="D17" i="14"/>
  <c r="E17" i="14" s="1"/>
  <c r="B88" i="14"/>
  <c r="B99" i="14" s="1"/>
  <c r="B101" i="14" s="1"/>
  <c r="D35" i="14"/>
  <c r="E35" i="14" s="1"/>
  <c r="D38" i="14"/>
  <c r="E38" i="14" s="1"/>
  <c r="D53" i="14"/>
  <c r="E53" i="14" s="1"/>
  <c r="D55" i="14"/>
  <c r="E55" i="14" s="1"/>
  <c r="D73" i="14"/>
  <c r="E73" i="14" s="1"/>
  <c r="D81" i="14"/>
  <c r="E81" i="14" s="1"/>
  <c r="D46" i="14"/>
  <c r="E46" i="14" s="1"/>
  <c r="D92" i="14"/>
  <c r="E92" i="14" s="1"/>
  <c r="D96" i="14"/>
  <c r="E96" i="14" s="1"/>
  <c r="D98" i="15"/>
  <c r="E98" i="15" s="1"/>
  <c r="D91" i="15"/>
  <c r="E91" i="15" s="1"/>
  <c r="D21" i="14"/>
  <c r="E21" i="14" s="1"/>
  <c r="D49" i="14"/>
  <c r="E49" i="14" s="1"/>
  <c r="D67" i="14"/>
  <c r="E67" i="14" s="1"/>
  <c r="D95" i="14"/>
  <c r="E95" i="14" s="1"/>
  <c r="D53" i="15"/>
  <c r="E53" i="15" s="1"/>
  <c r="D28" i="15"/>
  <c r="E28" i="15" s="1"/>
  <c r="D27" i="14"/>
  <c r="E27" i="14" s="1"/>
  <c r="D59" i="14"/>
  <c r="E59" i="14" s="1"/>
  <c r="D79" i="14"/>
  <c r="E79" i="14" s="1"/>
  <c r="D85" i="14"/>
  <c r="E85" i="14" s="1"/>
  <c r="D82" i="15"/>
  <c r="E82" i="15" s="1"/>
  <c r="D70" i="15"/>
  <c r="E70" i="15" s="1"/>
  <c r="D68" i="15"/>
  <c r="E68" i="15" s="1"/>
  <c r="B100" i="13"/>
  <c r="B97" i="13"/>
  <c r="D97" i="13" s="1"/>
  <c r="E97" i="13" s="1"/>
  <c r="B96" i="13"/>
  <c r="D96" i="13" s="1"/>
  <c r="E96" i="13" s="1"/>
  <c r="B95" i="13"/>
  <c r="D95" i="13" s="1"/>
  <c r="E95" i="13" s="1"/>
  <c r="B94" i="13"/>
  <c r="D94" i="13" s="1"/>
  <c r="E94" i="13" s="1"/>
  <c r="B93" i="13"/>
  <c r="D93" i="13" s="1"/>
  <c r="E93" i="13" s="1"/>
  <c r="B92" i="13"/>
  <c r="B91" i="13"/>
  <c r="B86" i="13"/>
  <c r="D86" i="13" s="1"/>
  <c r="E86" i="13" s="1"/>
  <c r="B85" i="13"/>
  <c r="D85" i="13" s="1"/>
  <c r="E85" i="13" s="1"/>
  <c r="B84" i="13"/>
  <c r="B87" i="13" s="1"/>
  <c r="D81" i="13"/>
  <c r="E81" i="13" s="1"/>
  <c r="B81" i="13"/>
  <c r="B80" i="13"/>
  <c r="D80" i="13" s="1"/>
  <c r="E80" i="13" s="1"/>
  <c r="B79" i="13"/>
  <c r="D79" i="13" s="1"/>
  <c r="E79" i="13" s="1"/>
  <c r="B78" i="13"/>
  <c r="D78" i="13" s="1"/>
  <c r="E78" i="13" s="1"/>
  <c r="B77" i="13"/>
  <c r="D77" i="13" s="1"/>
  <c r="E77" i="13" s="1"/>
  <c r="B76" i="13"/>
  <c r="D76" i="13" s="1"/>
  <c r="E76" i="13" s="1"/>
  <c r="D75" i="13"/>
  <c r="E75" i="13" s="1"/>
  <c r="B75" i="13"/>
  <c r="B74" i="13"/>
  <c r="D74" i="13" s="1"/>
  <c r="E74" i="13" s="1"/>
  <c r="B73" i="13"/>
  <c r="D73" i="13" s="1"/>
  <c r="E73" i="13" s="1"/>
  <c r="B72" i="13"/>
  <c r="D72" i="13" s="1"/>
  <c r="E72" i="13" s="1"/>
  <c r="B71" i="13"/>
  <c r="D71" i="13" s="1"/>
  <c r="E71" i="13" s="1"/>
  <c r="B70" i="13"/>
  <c r="B82" i="13" s="1"/>
  <c r="B67" i="13"/>
  <c r="D67" i="13" s="1"/>
  <c r="E67" i="13" s="1"/>
  <c r="B66" i="13"/>
  <c r="D66" i="13" s="1"/>
  <c r="E66" i="13" s="1"/>
  <c r="B65" i="13"/>
  <c r="D65" i="13" s="1"/>
  <c r="E65" i="13" s="1"/>
  <c r="B64" i="13"/>
  <c r="D64" i="13" s="1"/>
  <c r="E64" i="13" s="1"/>
  <c r="B63" i="13"/>
  <c r="B61" i="13"/>
  <c r="D61" i="13" s="1"/>
  <c r="E61" i="13" s="1"/>
  <c r="B60" i="13"/>
  <c r="B59" i="13"/>
  <c r="D59" i="13" s="1"/>
  <c r="E59" i="13" s="1"/>
  <c r="B58" i="13"/>
  <c r="D58" i="13" s="1"/>
  <c r="E58" i="13" s="1"/>
  <c r="D57" i="13"/>
  <c r="E57" i="13" s="1"/>
  <c r="B57" i="13"/>
  <c r="B56" i="13"/>
  <c r="D56" i="13" s="1"/>
  <c r="E56" i="13" s="1"/>
  <c r="B55" i="13"/>
  <c r="B54" i="13"/>
  <c r="D54" i="13" s="1"/>
  <c r="E54" i="13" s="1"/>
  <c r="B53" i="13"/>
  <c r="D53" i="13" s="1"/>
  <c r="E53" i="13" s="1"/>
  <c r="B52" i="13"/>
  <c r="D52" i="13" s="1"/>
  <c r="E52" i="13" s="1"/>
  <c r="B51" i="13"/>
  <c r="D51" i="13" s="1"/>
  <c r="E51" i="13" s="1"/>
  <c r="B50" i="13"/>
  <c r="D50" i="13" s="1"/>
  <c r="E50" i="13" s="1"/>
  <c r="B49" i="13"/>
  <c r="D49" i="13" s="1"/>
  <c r="E49" i="13" s="1"/>
  <c r="B48" i="13"/>
  <c r="D48" i="13" s="1"/>
  <c r="E48" i="13" s="1"/>
  <c r="B47" i="13"/>
  <c r="B46" i="13"/>
  <c r="D46" i="13" s="1"/>
  <c r="E46" i="13" s="1"/>
  <c r="B45" i="13"/>
  <c r="D45" i="13" s="1"/>
  <c r="E45" i="13" s="1"/>
  <c r="B42" i="13"/>
  <c r="B41" i="13"/>
  <c r="D41" i="13" s="1"/>
  <c r="E41" i="13" s="1"/>
  <c r="B40" i="13"/>
  <c r="D40" i="13" s="1"/>
  <c r="E40" i="13" s="1"/>
  <c r="D39" i="13"/>
  <c r="E39" i="13" s="1"/>
  <c r="B39" i="13"/>
  <c r="B38" i="13"/>
  <c r="D38" i="13" s="1"/>
  <c r="E38" i="13" s="1"/>
  <c r="B37" i="13"/>
  <c r="D37" i="13" s="1"/>
  <c r="E37" i="13" s="1"/>
  <c r="B36" i="13"/>
  <c r="D36" i="13" s="1"/>
  <c r="E36" i="13" s="1"/>
  <c r="B35" i="13"/>
  <c r="D35" i="13" s="1"/>
  <c r="E35" i="13" s="1"/>
  <c r="B34" i="13"/>
  <c r="B33" i="13"/>
  <c r="D32" i="13"/>
  <c r="E32" i="13" s="1"/>
  <c r="B32" i="13"/>
  <c r="B31" i="13"/>
  <c r="D31" i="13" s="1"/>
  <c r="E31" i="13" s="1"/>
  <c r="B30" i="13"/>
  <c r="B29" i="13"/>
  <c r="B28" i="13"/>
  <c r="D28" i="13" s="1"/>
  <c r="E28" i="13" s="1"/>
  <c r="B27" i="13"/>
  <c r="D27" i="13" s="1"/>
  <c r="E27" i="13" s="1"/>
  <c r="B26" i="13"/>
  <c r="D26" i="13" s="1"/>
  <c r="E26" i="13" s="1"/>
  <c r="D25" i="13"/>
  <c r="E25" i="13" s="1"/>
  <c r="B25" i="13"/>
  <c r="B24" i="13"/>
  <c r="D24" i="13" s="1"/>
  <c r="E24" i="13" s="1"/>
  <c r="B23" i="13"/>
  <c r="D23" i="13" s="1"/>
  <c r="E23" i="13" s="1"/>
  <c r="B22" i="13"/>
  <c r="D22" i="13" s="1"/>
  <c r="E22" i="13" s="1"/>
  <c r="B21" i="13"/>
  <c r="D21" i="13" s="1"/>
  <c r="E21" i="13" s="1"/>
  <c r="B20" i="13"/>
  <c r="B19" i="13"/>
  <c r="D18" i="13"/>
  <c r="E18" i="13" s="1"/>
  <c r="B18" i="13"/>
  <c r="B17" i="13"/>
  <c r="B16" i="13"/>
  <c r="B13" i="13"/>
  <c r="B9" i="13"/>
  <c r="B98" i="13" l="1"/>
  <c r="D91" i="13"/>
  <c r="E91" i="13" s="1"/>
  <c r="B68" i="13"/>
  <c r="B88" i="13" s="1"/>
  <c r="D68" i="13"/>
  <c r="E68" i="13" s="1"/>
  <c r="D98" i="13"/>
  <c r="E98" i="13" s="1"/>
  <c r="D17" i="13"/>
  <c r="E17" i="13" s="1"/>
  <c r="D87" i="13"/>
  <c r="E87" i="13" s="1"/>
  <c r="D33" i="13"/>
  <c r="E33" i="13" s="1"/>
  <c r="D34" i="13"/>
  <c r="E34" i="13" s="1"/>
  <c r="B99" i="13"/>
  <c r="B101" i="13" s="1"/>
  <c r="D55" i="13"/>
  <c r="E55" i="13" s="1"/>
  <c r="D60" i="13"/>
  <c r="E60" i="13" s="1"/>
  <c r="D20" i="13"/>
  <c r="E20" i="13" s="1"/>
  <c r="D19" i="13"/>
  <c r="E19" i="13" s="1"/>
  <c r="D29" i="13"/>
  <c r="E29" i="13" s="1"/>
  <c r="D47" i="13"/>
  <c r="E47" i="13" s="1"/>
  <c r="D84" i="13"/>
  <c r="E84" i="13" s="1"/>
  <c r="D92" i="13"/>
  <c r="E92" i="13" s="1"/>
  <c r="D16" i="15"/>
  <c r="E16" i="15" s="1"/>
  <c r="D30" i="13"/>
  <c r="E30" i="13" s="1"/>
  <c r="D63" i="13"/>
  <c r="E63" i="13" s="1"/>
  <c r="D87" i="14"/>
  <c r="E87" i="14" s="1"/>
  <c r="D84" i="14"/>
  <c r="E84" i="14" s="1"/>
  <c r="D45" i="14"/>
  <c r="E45" i="14" s="1"/>
  <c r="D68" i="14"/>
  <c r="E68" i="14" s="1"/>
  <c r="D46" i="15"/>
  <c r="E46" i="15" s="1"/>
  <c r="D88" i="15"/>
  <c r="E88" i="15" s="1"/>
  <c r="D34" i="14"/>
  <c r="E34" i="14" s="1"/>
  <c r="D33" i="14"/>
  <c r="E33" i="14" s="1"/>
  <c r="D98" i="14"/>
  <c r="E98" i="14" s="1"/>
  <c r="B100" i="12"/>
  <c r="B97" i="12"/>
  <c r="D97" i="12" s="1"/>
  <c r="E97" i="12" s="1"/>
  <c r="B96" i="12"/>
  <c r="D96" i="12" s="1"/>
  <c r="E96" i="12" s="1"/>
  <c r="B95" i="12"/>
  <c r="D95" i="12" s="1"/>
  <c r="E95" i="12" s="1"/>
  <c r="D94" i="12"/>
  <c r="E94" i="12" s="1"/>
  <c r="B94" i="12"/>
  <c r="B93" i="12"/>
  <c r="D93" i="12" s="1"/>
  <c r="E93" i="12" s="1"/>
  <c r="B92" i="12"/>
  <c r="D92" i="12" s="1"/>
  <c r="E92" i="12" s="1"/>
  <c r="B91" i="12"/>
  <c r="D91" i="12" s="1"/>
  <c r="E91" i="12" s="1"/>
  <c r="B86" i="12"/>
  <c r="D86" i="12" s="1"/>
  <c r="E86" i="12" s="1"/>
  <c r="B85" i="12"/>
  <c r="D85" i="12" s="1"/>
  <c r="E85" i="12" s="1"/>
  <c r="B84" i="12"/>
  <c r="B87" i="12" s="1"/>
  <c r="B81" i="12"/>
  <c r="D81" i="12" s="1"/>
  <c r="E81" i="12" s="1"/>
  <c r="B80" i="12"/>
  <c r="D80" i="12" s="1"/>
  <c r="E80" i="12" s="1"/>
  <c r="B79" i="12"/>
  <c r="D79" i="12" s="1"/>
  <c r="E79" i="12" s="1"/>
  <c r="B78" i="12"/>
  <c r="D78" i="12" s="1"/>
  <c r="E78" i="12" s="1"/>
  <c r="B77" i="12"/>
  <c r="D77" i="12" s="1"/>
  <c r="E77" i="12" s="1"/>
  <c r="B76" i="12"/>
  <c r="D76" i="12" s="1"/>
  <c r="E76" i="12" s="1"/>
  <c r="B75" i="12"/>
  <c r="D75" i="12" s="1"/>
  <c r="E75" i="12" s="1"/>
  <c r="B74" i="12"/>
  <c r="D74" i="12" s="1"/>
  <c r="E74" i="12" s="1"/>
  <c r="B73" i="12"/>
  <c r="D73" i="12" s="1"/>
  <c r="E73" i="12" s="1"/>
  <c r="B72" i="12"/>
  <c r="D72" i="12" s="1"/>
  <c r="E72" i="12" s="1"/>
  <c r="B71" i="12"/>
  <c r="B70" i="12"/>
  <c r="B82" i="12" s="1"/>
  <c r="B67" i="12"/>
  <c r="D67" i="12" s="1"/>
  <c r="E67" i="12" s="1"/>
  <c r="B66" i="12"/>
  <c r="D66" i="12" s="1"/>
  <c r="E66" i="12" s="1"/>
  <c r="B65" i="12"/>
  <c r="D65" i="12" s="1"/>
  <c r="E65" i="12" s="1"/>
  <c r="B64" i="12"/>
  <c r="D64" i="12" s="1"/>
  <c r="E64" i="12" s="1"/>
  <c r="B63" i="12"/>
  <c r="B61" i="12"/>
  <c r="D61" i="12" s="1"/>
  <c r="E61" i="12" s="1"/>
  <c r="B60" i="12"/>
  <c r="D60" i="12" s="1"/>
  <c r="E60" i="12" s="1"/>
  <c r="B59" i="12"/>
  <c r="D59" i="12" s="1"/>
  <c r="E59" i="12" s="1"/>
  <c r="B58" i="12"/>
  <c r="D58" i="12" s="1"/>
  <c r="E58" i="12" s="1"/>
  <c r="B57" i="12"/>
  <c r="D57" i="12" s="1"/>
  <c r="E57" i="12" s="1"/>
  <c r="B56" i="12"/>
  <c r="D56" i="12" s="1"/>
  <c r="E56" i="12" s="1"/>
  <c r="B55" i="12"/>
  <c r="B54" i="12"/>
  <c r="D54" i="12" s="1"/>
  <c r="E54" i="12" s="1"/>
  <c r="B53" i="12"/>
  <c r="D53" i="12" s="1"/>
  <c r="E53" i="12" s="1"/>
  <c r="B52" i="12"/>
  <c r="D52" i="12" s="1"/>
  <c r="E52" i="12" s="1"/>
  <c r="B51" i="12"/>
  <c r="D51" i="12" s="1"/>
  <c r="E51" i="12" s="1"/>
  <c r="B50" i="12"/>
  <c r="D50" i="12" s="1"/>
  <c r="E50" i="12" s="1"/>
  <c r="B49" i="12"/>
  <c r="B48" i="12"/>
  <c r="D48" i="12" s="1"/>
  <c r="E48" i="12" s="1"/>
  <c r="B47" i="12"/>
  <c r="D47" i="12" s="1"/>
  <c r="E47" i="12" s="1"/>
  <c r="B46" i="12"/>
  <c r="B45" i="12"/>
  <c r="D45" i="12" s="1"/>
  <c r="E45" i="12" s="1"/>
  <c r="B42" i="12"/>
  <c r="B41" i="12"/>
  <c r="D41" i="12" s="1"/>
  <c r="E41" i="12" s="1"/>
  <c r="B40" i="12"/>
  <c r="D40" i="12" s="1"/>
  <c r="E40" i="12" s="1"/>
  <c r="B39" i="12"/>
  <c r="D39" i="12" s="1"/>
  <c r="E39" i="12" s="1"/>
  <c r="B38" i="12"/>
  <c r="D38" i="12" s="1"/>
  <c r="E38" i="12" s="1"/>
  <c r="B37" i="12"/>
  <c r="D37" i="12" s="1"/>
  <c r="E37" i="12" s="1"/>
  <c r="B36" i="12"/>
  <c r="D36" i="12" s="1"/>
  <c r="E36" i="12" s="1"/>
  <c r="B35" i="12"/>
  <c r="D35" i="12" s="1"/>
  <c r="E35" i="12" s="1"/>
  <c r="B34" i="12"/>
  <c r="B33" i="12"/>
  <c r="B32" i="12"/>
  <c r="D32" i="12" s="1"/>
  <c r="E32" i="12" s="1"/>
  <c r="B31" i="12"/>
  <c r="D31" i="12" s="1"/>
  <c r="E31" i="12" s="1"/>
  <c r="B30" i="12"/>
  <c r="B29" i="12"/>
  <c r="B28" i="12"/>
  <c r="D28" i="12" s="1"/>
  <c r="E28" i="12" s="1"/>
  <c r="B27" i="12"/>
  <c r="D27" i="12" s="1"/>
  <c r="E27" i="12" s="1"/>
  <c r="B26" i="12"/>
  <c r="D26" i="12" s="1"/>
  <c r="E26" i="12" s="1"/>
  <c r="B25" i="12"/>
  <c r="D25" i="12" s="1"/>
  <c r="E25" i="12" s="1"/>
  <c r="B24" i="12"/>
  <c r="D24" i="12" s="1"/>
  <c r="E24" i="12" s="1"/>
  <c r="D23" i="12"/>
  <c r="E23" i="12" s="1"/>
  <c r="B23" i="12"/>
  <c r="B22" i="12"/>
  <c r="D22" i="12" s="1"/>
  <c r="E22" i="12" s="1"/>
  <c r="B21" i="12"/>
  <c r="D21" i="12" s="1"/>
  <c r="E21" i="12" s="1"/>
  <c r="B20" i="12"/>
  <c r="B19" i="12"/>
  <c r="B18" i="12"/>
  <c r="D18" i="12" s="1"/>
  <c r="E18" i="12" s="1"/>
  <c r="B17" i="12"/>
  <c r="B16" i="12"/>
  <c r="B13" i="12"/>
  <c r="B9" i="12" s="1"/>
  <c r="B68" i="12" l="1"/>
  <c r="B98" i="12"/>
  <c r="D34" i="12"/>
  <c r="E34" i="12" s="1"/>
  <c r="D33" i="12"/>
  <c r="E33" i="12" s="1"/>
  <c r="B88" i="12"/>
  <c r="B99" i="12" s="1"/>
  <c r="B101" i="12" s="1"/>
  <c r="D87" i="12"/>
  <c r="E87" i="12" s="1"/>
  <c r="D55" i="12"/>
  <c r="E55" i="12" s="1"/>
  <c r="D20" i="12"/>
  <c r="E20" i="12" s="1"/>
  <c r="D29" i="12"/>
  <c r="E29" i="12" s="1"/>
  <c r="D17" i="12"/>
  <c r="E17" i="12" s="1"/>
  <c r="D46" i="12"/>
  <c r="E46" i="12" s="1"/>
  <c r="D49" i="12"/>
  <c r="E49" i="12" s="1"/>
  <c r="D98" i="12"/>
  <c r="E98" i="12" s="1"/>
  <c r="D71" i="12"/>
  <c r="E71" i="12" s="1"/>
  <c r="D84" i="12"/>
  <c r="E84" i="12" s="1"/>
  <c r="D19" i="14"/>
  <c r="E19" i="14" s="1"/>
  <c r="D30" i="12"/>
  <c r="E30" i="12" s="1"/>
  <c r="D63" i="12"/>
  <c r="E63" i="12" s="1"/>
  <c r="D70" i="14"/>
  <c r="E70" i="14" s="1"/>
  <c r="D82" i="14"/>
  <c r="E82" i="14" s="1"/>
  <c r="D88" i="14"/>
  <c r="E88" i="14" s="1"/>
  <c r="D42" i="15"/>
  <c r="E42" i="15" s="1"/>
  <c r="D70" i="13"/>
  <c r="E70" i="13" s="1"/>
  <c r="B100" i="11"/>
  <c r="B97" i="11"/>
  <c r="D97" i="11" s="1"/>
  <c r="E97" i="11" s="1"/>
  <c r="B96" i="11"/>
  <c r="D96" i="11" s="1"/>
  <c r="E96" i="11" s="1"/>
  <c r="B95" i="11"/>
  <c r="D95" i="11" s="1"/>
  <c r="E95" i="11" s="1"/>
  <c r="D94" i="11"/>
  <c r="E94" i="11" s="1"/>
  <c r="B94" i="11"/>
  <c r="B93" i="11"/>
  <c r="B92" i="11"/>
  <c r="D92" i="11" s="1"/>
  <c r="E92" i="11" s="1"/>
  <c r="B91" i="11"/>
  <c r="B86" i="11"/>
  <c r="D86" i="11" s="1"/>
  <c r="E86" i="11" s="1"/>
  <c r="B85" i="11"/>
  <c r="B84" i="11"/>
  <c r="B87" i="11" s="1"/>
  <c r="B81" i="11"/>
  <c r="D81" i="11" s="1"/>
  <c r="E81" i="11" s="1"/>
  <c r="D80" i="11"/>
  <c r="E80" i="11" s="1"/>
  <c r="B80" i="11"/>
  <c r="B79" i="11"/>
  <c r="D79" i="11" s="1"/>
  <c r="E79" i="11" s="1"/>
  <c r="B78" i="11"/>
  <c r="D78" i="11" s="1"/>
  <c r="E78" i="11" s="1"/>
  <c r="B77" i="11"/>
  <c r="B76" i="11"/>
  <c r="D76" i="11" s="1"/>
  <c r="E76" i="11" s="1"/>
  <c r="B75" i="11"/>
  <c r="D75" i="11" s="1"/>
  <c r="E75" i="11" s="1"/>
  <c r="D74" i="11"/>
  <c r="E74" i="11" s="1"/>
  <c r="B74" i="11"/>
  <c r="B73" i="11"/>
  <c r="D73" i="11" s="1"/>
  <c r="E73" i="11" s="1"/>
  <c r="B72" i="11"/>
  <c r="B71" i="11"/>
  <c r="B70" i="11"/>
  <c r="B67" i="11"/>
  <c r="D67" i="11" s="1"/>
  <c r="E67" i="11" s="1"/>
  <c r="B66" i="11"/>
  <c r="D66" i="11" s="1"/>
  <c r="E66" i="11" s="1"/>
  <c r="B65" i="11"/>
  <c r="B64" i="11"/>
  <c r="D64" i="11" s="1"/>
  <c r="E64" i="11" s="1"/>
  <c r="B63" i="11"/>
  <c r="B61" i="11"/>
  <c r="B60" i="11"/>
  <c r="D60" i="11" s="1"/>
  <c r="E60" i="11" s="1"/>
  <c r="B59" i="11"/>
  <c r="D59" i="11" s="1"/>
  <c r="E59" i="11" s="1"/>
  <c r="B58" i="11"/>
  <c r="D58" i="11" s="1"/>
  <c r="E58" i="11" s="1"/>
  <c r="B57" i="11"/>
  <c r="D57" i="11" s="1"/>
  <c r="E57" i="11" s="1"/>
  <c r="B56" i="11"/>
  <c r="B55" i="11"/>
  <c r="B54" i="11"/>
  <c r="D54" i="11" s="1"/>
  <c r="E54" i="11" s="1"/>
  <c r="B53" i="11"/>
  <c r="D53" i="11" s="1"/>
  <c r="E53" i="11" s="1"/>
  <c r="B52" i="11"/>
  <c r="D52" i="11" s="1"/>
  <c r="E52" i="11" s="1"/>
  <c r="B51" i="11"/>
  <c r="D51" i="11" s="1"/>
  <c r="E51" i="11" s="1"/>
  <c r="B50" i="11"/>
  <c r="B49" i="11"/>
  <c r="D49" i="11" s="1"/>
  <c r="E49" i="11" s="1"/>
  <c r="D48" i="11"/>
  <c r="E48" i="11" s="1"/>
  <c r="B48" i="11"/>
  <c r="B47" i="11"/>
  <c r="B46" i="11"/>
  <c r="B45" i="11"/>
  <c r="B42" i="11"/>
  <c r="B41" i="11"/>
  <c r="D41" i="11" s="1"/>
  <c r="E41" i="11" s="1"/>
  <c r="B40" i="11"/>
  <c r="D40" i="11" s="1"/>
  <c r="E40" i="11" s="1"/>
  <c r="D39" i="11"/>
  <c r="E39" i="11" s="1"/>
  <c r="B39" i="11"/>
  <c r="B38" i="11"/>
  <c r="D38" i="11" s="1"/>
  <c r="E38" i="11" s="1"/>
  <c r="B37" i="11"/>
  <c r="B36" i="11"/>
  <c r="B35" i="11"/>
  <c r="D35" i="11" s="1"/>
  <c r="E35" i="11" s="1"/>
  <c r="B34" i="11"/>
  <c r="D34" i="11" s="1"/>
  <c r="E34" i="11" s="1"/>
  <c r="B33" i="11"/>
  <c r="D32" i="11"/>
  <c r="E32" i="11" s="1"/>
  <c r="B32" i="11"/>
  <c r="B31" i="11"/>
  <c r="B30" i="11"/>
  <c r="B29" i="11"/>
  <c r="B28" i="11"/>
  <c r="D28" i="11" s="1"/>
  <c r="E28" i="11" s="1"/>
  <c r="B27" i="11"/>
  <c r="D27" i="11" s="1"/>
  <c r="E27" i="11" s="1"/>
  <c r="B26" i="11"/>
  <c r="D26" i="11" s="1"/>
  <c r="E26" i="11" s="1"/>
  <c r="B25" i="11"/>
  <c r="B24" i="11"/>
  <c r="B23" i="11"/>
  <c r="D23" i="11" s="1"/>
  <c r="E23" i="11" s="1"/>
  <c r="B22" i="11"/>
  <c r="D22" i="11" s="1"/>
  <c r="E22" i="11" s="1"/>
  <c r="B21" i="11"/>
  <c r="D21" i="11" s="1"/>
  <c r="E21" i="11" s="1"/>
  <c r="B20" i="11"/>
  <c r="B19" i="11"/>
  <c r="B18" i="11"/>
  <c r="B17" i="11"/>
  <c r="B16" i="11"/>
  <c r="B13" i="11"/>
  <c r="B9" i="11"/>
  <c r="B68" i="11" l="1"/>
  <c r="D93" i="11"/>
  <c r="E93" i="11" s="1"/>
  <c r="D68" i="12"/>
  <c r="E68" i="12" s="1"/>
  <c r="D88" i="12"/>
  <c r="E88" i="12" s="1"/>
  <c r="D68" i="11"/>
  <c r="E68" i="11" s="1"/>
  <c r="D63" i="11"/>
  <c r="E63" i="11" s="1"/>
  <c r="D70" i="12"/>
  <c r="E70" i="12" s="1"/>
  <c r="D82" i="12"/>
  <c r="E82" i="12" s="1"/>
  <c r="D18" i="11"/>
  <c r="E18" i="11" s="1"/>
  <c r="D85" i="11"/>
  <c r="E85" i="11" s="1"/>
  <c r="D17" i="11"/>
  <c r="E17" i="11" s="1"/>
  <c r="D91" i="11"/>
  <c r="E91" i="11" s="1"/>
  <c r="D72" i="11"/>
  <c r="E72" i="11" s="1"/>
  <c r="D19" i="12"/>
  <c r="E19" i="12" s="1"/>
  <c r="B98" i="11"/>
  <c r="D98" i="11" s="1"/>
  <c r="E98" i="11" s="1"/>
  <c r="D25" i="11"/>
  <c r="E25" i="11" s="1"/>
  <c r="D31" i="11"/>
  <c r="E31" i="11" s="1"/>
  <c r="D37" i="11"/>
  <c r="E37" i="11" s="1"/>
  <c r="D45" i="11"/>
  <c r="E45" i="11" s="1"/>
  <c r="D50" i="11"/>
  <c r="E50" i="11" s="1"/>
  <c r="D47" i="11"/>
  <c r="E47" i="11" s="1"/>
  <c r="D65" i="11"/>
  <c r="E65" i="11" s="1"/>
  <c r="D16" i="13"/>
  <c r="E16" i="13" s="1"/>
  <c r="D56" i="11"/>
  <c r="E56" i="11" s="1"/>
  <c r="D24" i="11"/>
  <c r="E24" i="11" s="1"/>
  <c r="D36" i="11"/>
  <c r="E36" i="11" s="1"/>
  <c r="D20" i="11"/>
  <c r="E20" i="11" s="1"/>
  <c r="D61" i="11"/>
  <c r="E61" i="11" s="1"/>
  <c r="D77" i="11"/>
  <c r="E77" i="11" s="1"/>
  <c r="B82" i="11"/>
  <c r="B88" i="11" s="1"/>
  <c r="B99" i="11" s="1"/>
  <c r="B101" i="11" s="1"/>
  <c r="D82" i="13"/>
  <c r="E82" i="13" s="1"/>
  <c r="D88" i="13"/>
  <c r="E88" i="13" s="1"/>
  <c r="D16" i="14"/>
  <c r="E16" i="14" s="1"/>
  <c r="B100" i="10"/>
  <c r="B97" i="10"/>
  <c r="D97" i="10" s="1"/>
  <c r="E97" i="10" s="1"/>
  <c r="B96" i="10"/>
  <c r="D96" i="10" s="1"/>
  <c r="E96" i="10" s="1"/>
  <c r="B95" i="10"/>
  <c r="D95" i="10" s="1"/>
  <c r="E95" i="10" s="1"/>
  <c r="B94" i="10"/>
  <c r="D94" i="10" s="1"/>
  <c r="E94" i="10" s="1"/>
  <c r="B93" i="10"/>
  <c r="D93" i="10" s="1"/>
  <c r="E93" i="10" s="1"/>
  <c r="B92" i="10"/>
  <c r="D92" i="10" s="1"/>
  <c r="E92" i="10" s="1"/>
  <c r="B91" i="10"/>
  <c r="D91" i="10" s="1"/>
  <c r="E91" i="10" s="1"/>
  <c r="B86" i="10"/>
  <c r="B85" i="10"/>
  <c r="D85" i="10" s="1"/>
  <c r="E85" i="10" s="1"/>
  <c r="B84" i="10"/>
  <c r="D84" i="10" s="1"/>
  <c r="E84" i="10" s="1"/>
  <c r="B81" i="10"/>
  <c r="D81" i="10" s="1"/>
  <c r="E81" i="10" s="1"/>
  <c r="B80" i="10"/>
  <c r="D80" i="10" s="1"/>
  <c r="E80" i="10" s="1"/>
  <c r="B79" i="10"/>
  <c r="D79" i="10" s="1"/>
  <c r="E79" i="10" s="1"/>
  <c r="B78" i="10"/>
  <c r="D78" i="10" s="1"/>
  <c r="E78" i="10" s="1"/>
  <c r="B77" i="10"/>
  <c r="D77" i="10" s="1"/>
  <c r="E77" i="10" s="1"/>
  <c r="B76" i="10"/>
  <c r="D76" i="10" s="1"/>
  <c r="E76" i="10" s="1"/>
  <c r="B75" i="10"/>
  <c r="D75" i="10" s="1"/>
  <c r="E75" i="10" s="1"/>
  <c r="B74" i="10"/>
  <c r="D74" i="10" s="1"/>
  <c r="E74" i="10" s="1"/>
  <c r="B73" i="10"/>
  <c r="D73" i="10" s="1"/>
  <c r="E73" i="10" s="1"/>
  <c r="B72" i="10"/>
  <c r="D72" i="10" s="1"/>
  <c r="E72" i="10" s="1"/>
  <c r="B71" i="10"/>
  <c r="B70" i="10"/>
  <c r="B67" i="10"/>
  <c r="D67" i="10" s="1"/>
  <c r="E67" i="10" s="1"/>
  <c r="B66" i="10"/>
  <c r="D66" i="10" s="1"/>
  <c r="E66" i="10" s="1"/>
  <c r="D65" i="10"/>
  <c r="E65" i="10" s="1"/>
  <c r="B65" i="10"/>
  <c r="B64" i="10"/>
  <c r="D64" i="10" s="1"/>
  <c r="E64" i="10" s="1"/>
  <c r="B63" i="10"/>
  <c r="B61" i="10"/>
  <c r="B60" i="10"/>
  <c r="D60" i="10" s="1"/>
  <c r="E60" i="10" s="1"/>
  <c r="B59" i="10"/>
  <c r="D59" i="10" s="1"/>
  <c r="E59" i="10" s="1"/>
  <c r="B58" i="10"/>
  <c r="D58" i="10" s="1"/>
  <c r="E58" i="10" s="1"/>
  <c r="D57" i="10"/>
  <c r="E57" i="10" s="1"/>
  <c r="B57" i="10"/>
  <c r="B56" i="10"/>
  <c r="D56" i="10" s="1"/>
  <c r="E56" i="10" s="1"/>
  <c r="B55" i="10"/>
  <c r="D55" i="10" s="1"/>
  <c r="E55" i="10" s="1"/>
  <c r="B54" i="10"/>
  <c r="D54" i="10" s="1"/>
  <c r="E54" i="10" s="1"/>
  <c r="B53" i="10"/>
  <c r="B52" i="10"/>
  <c r="D52" i="10" s="1"/>
  <c r="E52" i="10" s="1"/>
  <c r="B51" i="10"/>
  <c r="D51" i="10" s="1"/>
  <c r="E51" i="10" s="1"/>
  <c r="B50" i="10"/>
  <c r="D50" i="10" s="1"/>
  <c r="E50" i="10" s="1"/>
  <c r="B49" i="10"/>
  <c r="D49" i="10" s="1"/>
  <c r="E49" i="10" s="1"/>
  <c r="D48" i="10"/>
  <c r="E48" i="10" s="1"/>
  <c r="B48" i="10"/>
  <c r="B47" i="10"/>
  <c r="D47" i="10" s="1"/>
  <c r="E47" i="10" s="1"/>
  <c r="B46" i="10"/>
  <c r="B45" i="10"/>
  <c r="D45" i="10" s="1"/>
  <c r="E45" i="10" s="1"/>
  <c r="B42" i="10"/>
  <c r="B41" i="10"/>
  <c r="D41" i="10" s="1"/>
  <c r="E41" i="10" s="1"/>
  <c r="B40" i="10"/>
  <c r="D40" i="10" s="1"/>
  <c r="E40" i="10" s="1"/>
  <c r="B39" i="10"/>
  <c r="D39" i="10" s="1"/>
  <c r="E39" i="10" s="1"/>
  <c r="B38" i="10"/>
  <c r="D38" i="10" s="1"/>
  <c r="E38" i="10" s="1"/>
  <c r="B37" i="10"/>
  <c r="D37" i="10" s="1"/>
  <c r="E37" i="10" s="1"/>
  <c r="B36" i="10"/>
  <c r="D36" i="10" s="1"/>
  <c r="E36" i="10" s="1"/>
  <c r="B35" i="10"/>
  <c r="D35" i="10" s="1"/>
  <c r="E35" i="10" s="1"/>
  <c r="B34" i="10"/>
  <c r="B33" i="10"/>
  <c r="B32" i="10"/>
  <c r="D32" i="10" s="1"/>
  <c r="E32" i="10" s="1"/>
  <c r="B31" i="10"/>
  <c r="D31" i="10" s="1"/>
  <c r="E31" i="10" s="1"/>
  <c r="B30" i="10"/>
  <c r="D30" i="10" s="1"/>
  <c r="E30" i="10" s="1"/>
  <c r="B29" i="10"/>
  <c r="B28" i="10"/>
  <c r="D28" i="10" s="1"/>
  <c r="E28" i="10" s="1"/>
  <c r="B27" i="10"/>
  <c r="D27" i="10" s="1"/>
  <c r="E27" i="10" s="1"/>
  <c r="B26" i="10"/>
  <c r="D26" i="10" s="1"/>
  <c r="E26" i="10" s="1"/>
  <c r="D25" i="10"/>
  <c r="E25" i="10" s="1"/>
  <c r="B25" i="10"/>
  <c r="B24" i="10"/>
  <c r="D24" i="10" s="1"/>
  <c r="E24" i="10" s="1"/>
  <c r="B23" i="10"/>
  <c r="D23" i="10" s="1"/>
  <c r="E23" i="10" s="1"/>
  <c r="B22" i="10"/>
  <c r="D22" i="10" s="1"/>
  <c r="E22" i="10" s="1"/>
  <c r="B21" i="10"/>
  <c r="D21" i="10" s="1"/>
  <c r="E21" i="10" s="1"/>
  <c r="B20" i="10"/>
  <c r="B19" i="10"/>
  <c r="D18" i="10"/>
  <c r="E18" i="10" s="1"/>
  <c r="B18" i="10"/>
  <c r="B17" i="10"/>
  <c r="B16" i="10"/>
  <c r="B13" i="10"/>
  <c r="B9" i="10"/>
  <c r="B82" i="10" l="1"/>
  <c r="B68" i="10"/>
  <c r="B87" i="10"/>
  <c r="D87" i="10" s="1"/>
  <c r="E87" i="10" s="1"/>
  <c r="D63" i="10"/>
  <c r="E63" i="10" s="1"/>
  <c r="D86" i="10"/>
  <c r="E86" i="10" s="1"/>
  <c r="B98" i="10"/>
  <c r="D98" i="10" s="1"/>
  <c r="E98" i="10" s="1"/>
  <c r="D46" i="11"/>
  <c r="E46" i="11" s="1"/>
  <c r="D20" i="10"/>
  <c r="E20" i="10" s="1"/>
  <c r="D19" i="10"/>
  <c r="E19" i="10" s="1"/>
  <c r="B88" i="10"/>
  <c r="B99" i="10" s="1"/>
  <c r="B101" i="10" s="1"/>
  <c r="D46" i="10"/>
  <c r="E46" i="10" s="1"/>
  <c r="D33" i="10"/>
  <c r="E33" i="10" s="1"/>
  <c r="D34" i="10"/>
  <c r="E34" i="10" s="1"/>
  <c r="D61" i="10"/>
  <c r="E61" i="10" s="1"/>
  <c r="D17" i="10"/>
  <c r="E17" i="10" s="1"/>
  <c r="D53" i="10"/>
  <c r="E53" i="10" s="1"/>
  <c r="D29" i="10"/>
  <c r="E29" i="10" s="1"/>
  <c r="D68" i="10"/>
  <c r="E68" i="10" s="1"/>
  <c r="D55" i="11"/>
  <c r="E55" i="11" s="1"/>
  <c r="D42" i="13"/>
  <c r="E42" i="13" s="1"/>
  <c r="D71" i="10"/>
  <c r="E71" i="10" s="1"/>
  <c r="D29" i="11"/>
  <c r="E29" i="11" s="1"/>
  <c r="D30" i="11"/>
  <c r="E30" i="11" s="1"/>
  <c r="D87" i="11"/>
  <c r="E87" i="11" s="1"/>
  <c r="D84" i="11"/>
  <c r="E84" i="11" s="1"/>
  <c r="D42" i="14"/>
  <c r="E42" i="14" s="1"/>
  <c r="D33" i="11"/>
  <c r="E33" i="11" s="1"/>
  <c r="D16" i="12"/>
  <c r="E16" i="12" s="1"/>
  <c r="D71" i="11"/>
  <c r="E71" i="11" s="1"/>
  <c r="B100" i="9"/>
  <c r="B97" i="9"/>
  <c r="D97" i="9" s="1"/>
  <c r="E97" i="9" s="1"/>
  <c r="B96" i="9"/>
  <c r="D96" i="9" s="1"/>
  <c r="E96" i="9" s="1"/>
  <c r="B95" i="9"/>
  <c r="D95" i="9" s="1"/>
  <c r="E95" i="9" s="1"/>
  <c r="B94" i="9"/>
  <c r="D94" i="9" s="1"/>
  <c r="E94" i="9" s="1"/>
  <c r="B93" i="9"/>
  <c r="D93" i="9" s="1"/>
  <c r="E93" i="9" s="1"/>
  <c r="B92" i="9"/>
  <c r="B91" i="9"/>
  <c r="B86" i="9"/>
  <c r="D86" i="9" s="1"/>
  <c r="E86" i="9" s="1"/>
  <c r="B85" i="9"/>
  <c r="D85" i="9" s="1"/>
  <c r="E85" i="9" s="1"/>
  <c r="B84" i="9"/>
  <c r="B87" i="9" s="1"/>
  <c r="B81" i="9"/>
  <c r="D81" i="9" s="1"/>
  <c r="E81" i="9" s="1"/>
  <c r="D80" i="9"/>
  <c r="E80" i="9" s="1"/>
  <c r="B80" i="9"/>
  <c r="B79" i="9"/>
  <c r="D79" i="9" s="1"/>
  <c r="E79" i="9" s="1"/>
  <c r="B78" i="9"/>
  <c r="D78" i="9" s="1"/>
  <c r="E78" i="9" s="1"/>
  <c r="B77" i="9"/>
  <c r="D77" i="9" s="1"/>
  <c r="E77" i="9" s="1"/>
  <c r="B76" i="9"/>
  <c r="D76" i="9" s="1"/>
  <c r="E76" i="9" s="1"/>
  <c r="B75" i="9"/>
  <c r="D75" i="9" s="1"/>
  <c r="E75" i="9" s="1"/>
  <c r="D74" i="9"/>
  <c r="E74" i="9" s="1"/>
  <c r="B74" i="9"/>
  <c r="B73" i="9"/>
  <c r="D73" i="9" s="1"/>
  <c r="E73" i="9" s="1"/>
  <c r="B72" i="9"/>
  <c r="D72" i="9" s="1"/>
  <c r="E72" i="9" s="1"/>
  <c r="B71" i="9"/>
  <c r="B70" i="9"/>
  <c r="B67" i="9"/>
  <c r="D67" i="9" s="1"/>
  <c r="E67" i="9" s="1"/>
  <c r="B66" i="9"/>
  <c r="D66" i="9" s="1"/>
  <c r="E66" i="9" s="1"/>
  <c r="D65" i="9"/>
  <c r="E65" i="9" s="1"/>
  <c r="B65" i="9"/>
  <c r="B64" i="9"/>
  <c r="D64" i="9" s="1"/>
  <c r="E64" i="9" s="1"/>
  <c r="B63" i="9"/>
  <c r="B61" i="9"/>
  <c r="D61" i="9" s="1"/>
  <c r="E61" i="9" s="1"/>
  <c r="B60" i="9"/>
  <c r="D60" i="9" s="1"/>
  <c r="E60" i="9" s="1"/>
  <c r="B59" i="9"/>
  <c r="D59" i="9" s="1"/>
  <c r="E59" i="9" s="1"/>
  <c r="B58" i="9"/>
  <c r="D58" i="9" s="1"/>
  <c r="E58" i="9" s="1"/>
  <c r="B57" i="9"/>
  <c r="B56" i="9"/>
  <c r="D56" i="9" s="1"/>
  <c r="E56" i="9" s="1"/>
  <c r="B55" i="9"/>
  <c r="D55" i="9" s="1"/>
  <c r="E55" i="9" s="1"/>
  <c r="B54" i="9"/>
  <c r="D54" i="9" s="1"/>
  <c r="E54" i="9" s="1"/>
  <c r="B53" i="9"/>
  <c r="D53" i="9" s="1"/>
  <c r="E53" i="9" s="1"/>
  <c r="B52" i="9"/>
  <c r="D52" i="9" s="1"/>
  <c r="E52" i="9" s="1"/>
  <c r="B51" i="9"/>
  <c r="D51" i="9" s="1"/>
  <c r="E51" i="9" s="1"/>
  <c r="B50" i="9"/>
  <c r="D50" i="9" s="1"/>
  <c r="E50" i="9" s="1"/>
  <c r="B49" i="9"/>
  <c r="D49" i="9" s="1"/>
  <c r="E49" i="9" s="1"/>
  <c r="B48" i="9"/>
  <c r="D48" i="9" s="1"/>
  <c r="E48" i="9" s="1"/>
  <c r="B47" i="9"/>
  <c r="D47" i="9" s="1"/>
  <c r="E47" i="9" s="1"/>
  <c r="B46" i="9"/>
  <c r="B45" i="9"/>
  <c r="B42" i="9"/>
  <c r="B41" i="9"/>
  <c r="D41" i="9" s="1"/>
  <c r="E41" i="9" s="1"/>
  <c r="B40" i="9"/>
  <c r="D40" i="9" s="1"/>
  <c r="E40" i="9" s="1"/>
  <c r="B39" i="9"/>
  <c r="D39" i="9" s="1"/>
  <c r="E39" i="9" s="1"/>
  <c r="B38" i="9"/>
  <c r="D38" i="9" s="1"/>
  <c r="E38" i="9" s="1"/>
  <c r="B37" i="9"/>
  <c r="D37" i="9" s="1"/>
  <c r="E37" i="9" s="1"/>
  <c r="D36" i="9"/>
  <c r="E36" i="9" s="1"/>
  <c r="B36" i="9"/>
  <c r="B35" i="9"/>
  <c r="D35" i="9" s="1"/>
  <c r="E35" i="9" s="1"/>
  <c r="B34" i="9"/>
  <c r="B33" i="9"/>
  <c r="B32" i="9"/>
  <c r="D32" i="9" s="1"/>
  <c r="E32" i="9" s="1"/>
  <c r="B31" i="9"/>
  <c r="D31" i="9" s="1"/>
  <c r="E31" i="9" s="1"/>
  <c r="B30" i="9"/>
  <c r="B29" i="9"/>
  <c r="D28" i="9"/>
  <c r="E28" i="9" s="1"/>
  <c r="B28" i="9"/>
  <c r="B27" i="9"/>
  <c r="D27" i="9" s="1"/>
  <c r="E27" i="9" s="1"/>
  <c r="B26" i="9"/>
  <c r="D26" i="9" s="1"/>
  <c r="E26" i="9" s="1"/>
  <c r="B25" i="9"/>
  <c r="D25" i="9" s="1"/>
  <c r="E25" i="9" s="1"/>
  <c r="B24" i="9"/>
  <c r="D24" i="9" s="1"/>
  <c r="E24" i="9" s="1"/>
  <c r="B23" i="9"/>
  <c r="D23" i="9" s="1"/>
  <c r="E23" i="9" s="1"/>
  <c r="D22" i="9"/>
  <c r="E22" i="9" s="1"/>
  <c r="B22" i="9"/>
  <c r="B21" i="9"/>
  <c r="D21" i="9" s="1"/>
  <c r="E21" i="9" s="1"/>
  <c r="B20" i="9"/>
  <c r="B19" i="9"/>
  <c r="B18" i="9"/>
  <c r="D18" i="9" s="1"/>
  <c r="E18" i="9" s="1"/>
  <c r="B17" i="9"/>
  <c r="B16" i="9"/>
  <c r="B13" i="9"/>
  <c r="B9" i="9"/>
  <c r="B82" i="9" l="1"/>
  <c r="B68" i="9"/>
  <c r="B98" i="9"/>
  <c r="D45" i="9"/>
  <c r="E45" i="9" s="1"/>
  <c r="D29" i="9"/>
  <c r="E29" i="9" s="1"/>
  <c r="D30" i="9"/>
  <c r="E30" i="9" s="1"/>
  <c r="D71" i="9"/>
  <c r="E71" i="9" s="1"/>
  <c r="D33" i="9"/>
  <c r="E33" i="9" s="1"/>
  <c r="D34" i="9"/>
  <c r="E34" i="9" s="1"/>
  <c r="B88" i="9"/>
  <c r="B99" i="9" s="1"/>
  <c r="B101" i="9" s="1"/>
  <c r="D57" i="9"/>
  <c r="E57" i="9" s="1"/>
  <c r="D17" i="9"/>
  <c r="E17" i="9" s="1"/>
  <c r="D16" i="10"/>
  <c r="E16" i="10" s="1"/>
  <c r="D92" i="9"/>
  <c r="E92" i="9" s="1"/>
  <c r="D70" i="11"/>
  <c r="E70" i="11" s="1"/>
  <c r="D19" i="11"/>
  <c r="E19" i="11" s="1"/>
  <c r="D20" i="9"/>
  <c r="E20" i="9" s="1"/>
  <c r="D42" i="12"/>
  <c r="E42" i="12" s="1"/>
  <c r="D70" i="10"/>
  <c r="E70" i="10" s="1"/>
  <c r="D82" i="10"/>
  <c r="E82" i="10" s="1"/>
  <c r="B100" i="8"/>
  <c r="B97" i="8"/>
  <c r="D97" i="8" s="1"/>
  <c r="E97" i="8" s="1"/>
  <c r="B96" i="8"/>
  <c r="B95" i="8"/>
  <c r="D95" i="8" s="1"/>
  <c r="E95" i="8" s="1"/>
  <c r="B94" i="8"/>
  <c r="D94" i="8" s="1"/>
  <c r="E94" i="8" s="1"/>
  <c r="B93" i="8"/>
  <c r="D93" i="8" s="1"/>
  <c r="E93" i="8" s="1"/>
  <c r="B92" i="8"/>
  <c r="B98" i="8" s="1"/>
  <c r="D91" i="8"/>
  <c r="E91" i="8" s="1"/>
  <c r="B91" i="8"/>
  <c r="B86" i="8"/>
  <c r="B85" i="8"/>
  <c r="D85" i="8" s="1"/>
  <c r="E85" i="8" s="1"/>
  <c r="B84" i="8"/>
  <c r="B87" i="8" s="1"/>
  <c r="B81" i="8"/>
  <c r="D81" i="8" s="1"/>
  <c r="E81" i="8" s="1"/>
  <c r="B80" i="8"/>
  <c r="D80" i="8" s="1"/>
  <c r="E80" i="8" s="1"/>
  <c r="B79" i="8"/>
  <c r="D78" i="8"/>
  <c r="E78" i="8" s="1"/>
  <c r="B78" i="8"/>
  <c r="B77" i="8"/>
  <c r="D77" i="8" s="1"/>
  <c r="E77" i="8" s="1"/>
  <c r="B76" i="8"/>
  <c r="D76" i="8" s="1"/>
  <c r="E76" i="8" s="1"/>
  <c r="B75" i="8"/>
  <c r="B74" i="8"/>
  <c r="D74" i="8" s="1"/>
  <c r="E74" i="8" s="1"/>
  <c r="B73" i="8"/>
  <c r="D73" i="8" s="1"/>
  <c r="E73" i="8" s="1"/>
  <c r="B72" i="8"/>
  <c r="D72" i="8" s="1"/>
  <c r="E72" i="8" s="1"/>
  <c r="B71" i="8"/>
  <c r="B70" i="8"/>
  <c r="B67" i="8"/>
  <c r="D67" i="8" s="1"/>
  <c r="E67" i="8" s="1"/>
  <c r="B66" i="8"/>
  <c r="B65" i="8"/>
  <c r="D65" i="8" s="1"/>
  <c r="E65" i="8" s="1"/>
  <c r="B64" i="8"/>
  <c r="D64" i="8" s="1"/>
  <c r="E64" i="8" s="1"/>
  <c r="B63" i="8"/>
  <c r="B68" i="8" s="1"/>
  <c r="B61" i="8"/>
  <c r="D61" i="8" s="1"/>
  <c r="E61" i="8" s="1"/>
  <c r="B60" i="8"/>
  <c r="D60" i="8" s="1"/>
  <c r="E60" i="8" s="1"/>
  <c r="B59" i="8"/>
  <c r="B58" i="8"/>
  <c r="D58" i="8" s="1"/>
  <c r="E58" i="8" s="1"/>
  <c r="B57" i="8"/>
  <c r="D57" i="8" s="1"/>
  <c r="E57" i="8" s="1"/>
  <c r="B56" i="8"/>
  <c r="D56" i="8" s="1"/>
  <c r="E56" i="8" s="1"/>
  <c r="B55" i="8"/>
  <c r="D55" i="8" s="1"/>
  <c r="E55" i="8" s="1"/>
  <c r="B54" i="8"/>
  <c r="D54" i="8" s="1"/>
  <c r="E54" i="8" s="1"/>
  <c r="B53" i="8"/>
  <c r="D53" i="8" s="1"/>
  <c r="E53" i="8" s="1"/>
  <c r="B52" i="8"/>
  <c r="D52" i="8" s="1"/>
  <c r="E52" i="8" s="1"/>
  <c r="B51" i="8"/>
  <c r="D51" i="8" s="1"/>
  <c r="E51" i="8" s="1"/>
  <c r="B50" i="8"/>
  <c r="D50" i="8" s="1"/>
  <c r="E50" i="8" s="1"/>
  <c r="B49" i="8"/>
  <c r="D49" i="8" s="1"/>
  <c r="E49" i="8" s="1"/>
  <c r="B48" i="8"/>
  <c r="D48" i="8" s="1"/>
  <c r="E48" i="8" s="1"/>
  <c r="B47" i="8"/>
  <c r="D47" i="8" s="1"/>
  <c r="E47" i="8" s="1"/>
  <c r="B46" i="8"/>
  <c r="B45" i="8"/>
  <c r="B42" i="8"/>
  <c r="B41" i="8"/>
  <c r="B40" i="8"/>
  <c r="D40" i="8" s="1"/>
  <c r="E40" i="8" s="1"/>
  <c r="B39" i="8"/>
  <c r="B38" i="8"/>
  <c r="D38" i="8" s="1"/>
  <c r="E38" i="8" s="1"/>
  <c r="B37" i="8"/>
  <c r="D37" i="8" s="1"/>
  <c r="E37" i="8" s="1"/>
  <c r="B36" i="8"/>
  <c r="D36" i="8" s="1"/>
  <c r="E36" i="8" s="1"/>
  <c r="B35" i="8"/>
  <c r="B34" i="8"/>
  <c r="B33" i="8"/>
  <c r="B32" i="8"/>
  <c r="D32" i="8" s="1"/>
  <c r="E32" i="8" s="1"/>
  <c r="B31" i="8"/>
  <c r="D31" i="8" s="1"/>
  <c r="E31" i="8" s="1"/>
  <c r="B30" i="8"/>
  <c r="D30" i="8" s="1"/>
  <c r="E30" i="8" s="1"/>
  <c r="B29" i="8"/>
  <c r="D29" i="8" s="1"/>
  <c r="E29" i="8" s="1"/>
  <c r="B28" i="8"/>
  <c r="D28" i="8" s="1"/>
  <c r="E28" i="8" s="1"/>
  <c r="B27" i="8"/>
  <c r="D27" i="8" s="1"/>
  <c r="E27" i="8" s="1"/>
  <c r="B26" i="8"/>
  <c r="D26" i="8" s="1"/>
  <c r="E26" i="8" s="1"/>
  <c r="B25" i="8"/>
  <c r="D25" i="8" s="1"/>
  <c r="E25" i="8" s="1"/>
  <c r="B24" i="8"/>
  <c r="D24" i="8" s="1"/>
  <c r="E24" i="8" s="1"/>
  <c r="B23" i="8"/>
  <c r="D23" i="8" s="1"/>
  <c r="E23" i="8" s="1"/>
  <c r="B22" i="8"/>
  <c r="D22" i="8" s="1"/>
  <c r="E22" i="8" s="1"/>
  <c r="B21" i="8"/>
  <c r="B20" i="8"/>
  <c r="B19" i="8"/>
  <c r="D18" i="8"/>
  <c r="E18" i="8" s="1"/>
  <c r="B18" i="8"/>
  <c r="B17" i="8"/>
  <c r="B16" i="8"/>
  <c r="B13" i="8"/>
  <c r="B9" i="8"/>
  <c r="B82" i="8" l="1"/>
  <c r="B88" i="8" s="1"/>
  <c r="D92" i="8"/>
  <c r="E92" i="8" s="1"/>
  <c r="D19" i="9"/>
  <c r="E19" i="9" s="1"/>
  <c r="D75" i="8"/>
  <c r="E75" i="8" s="1"/>
  <c r="D35" i="8"/>
  <c r="E35" i="8" s="1"/>
  <c r="D46" i="8"/>
  <c r="E46" i="8" s="1"/>
  <c r="D21" i="8"/>
  <c r="E21" i="8" s="1"/>
  <c r="D33" i="8"/>
  <c r="E33" i="8" s="1"/>
  <c r="B99" i="8"/>
  <c r="B101" i="8" s="1"/>
  <c r="D66" i="8"/>
  <c r="E66" i="8" s="1"/>
  <c r="D79" i="8"/>
  <c r="E79" i="8" s="1"/>
  <c r="D98" i="8"/>
  <c r="E98" i="8" s="1"/>
  <c r="D96" i="8"/>
  <c r="E96" i="8" s="1"/>
  <c r="D41" i="8"/>
  <c r="E41" i="8" s="1"/>
  <c r="D39" i="8"/>
  <c r="E39" i="8" s="1"/>
  <c r="D71" i="8"/>
  <c r="E71" i="8" s="1"/>
  <c r="D20" i="8"/>
  <c r="E20" i="8" s="1"/>
  <c r="D59" i="8"/>
  <c r="E59" i="8" s="1"/>
  <c r="D63" i="8"/>
  <c r="E63" i="8" s="1"/>
  <c r="D86" i="8"/>
  <c r="E86" i="8" s="1"/>
  <c r="D82" i="11"/>
  <c r="E82" i="11" s="1"/>
  <c r="D88" i="11"/>
  <c r="E88" i="11" s="1"/>
  <c r="D34" i="8"/>
  <c r="E34" i="8" s="1"/>
  <c r="D87" i="9"/>
  <c r="E87" i="9" s="1"/>
  <c r="D84" i="9"/>
  <c r="E84" i="9" s="1"/>
  <c r="D17" i="8"/>
  <c r="E17" i="8" s="1"/>
  <c r="D88" i="10"/>
  <c r="E88" i="10" s="1"/>
  <c r="D42" i="10"/>
  <c r="E42" i="10" s="1"/>
  <c r="D91" i="9"/>
  <c r="E91" i="9" s="1"/>
  <c r="D98" i="9"/>
  <c r="E98" i="9" s="1"/>
  <c r="D82" i="9"/>
  <c r="E82" i="9" s="1"/>
  <c r="D70" i="9"/>
  <c r="E70" i="9" s="1"/>
  <c r="D68" i="9"/>
  <c r="E68" i="9" s="1"/>
  <c r="D63" i="9"/>
  <c r="E63" i="9" s="1"/>
  <c r="D46" i="9"/>
  <c r="E46" i="9" s="1"/>
  <c r="D16" i="11"/>
  <c r="E16" i="11" s="1"/>
  <c r="B100" i="7"/>
  <c r="B97" i="7"/>
  <c r="D97" i="7" s="1"/>
  <c r="E97" i="7" s="1"/>
  <c r="B96" i="7"/>
  <c r="D96" i="7" s="1"/>
  <c r="E96" i="7" s="1"/>
  <c r="B95" i="7"/>
  <c r="D95" i="7" s="1"/>
  <c r="E95" i="7" s="1"/>
  <c r="B94" i="7"/>
  <c r="D93" i="7"/>
  <c r="E93" i="7"/>
  <c r="B93" i="7"/>
  <c r="B92" i="7"/>
  <c r="B91" i="7"/>
  <c r="D91" i="7" s="1"/>
  <c r="E91" i="7" s="1"/>
  <c r="B86" i="7"/>
  <c r="D86" i="7" s="1"/>
  <c r="E86" i="7" s="1"/>
  <c r="B85" i="7"/>
  <c r="B84" i="7"/>
  <c r="B87" i="7" s="1"/>
  <c r="B81" i="7"/>
  <c r="D81" i="7" s="1"/>
  <c r="E81" i="7" s="1"/>
  <c r="D80" i="7"/>
  <c r="E80" i="7" s="1"/>
  <c r="B80" i="7"/>
  <c r="B79" i="7"/>
  <c r="B78" i="7"/>
  <c r="D78" i="7" s="1"/>
  <c r="E78" i="7" s="1"/>
  <c r="B77" i="7"/>
  <c r="D77" i="7" s="1"/>
  <c r="E77" i="7" s="1"/>
  <c r="B76" i="7"/>
  <c r="D76" i="7" s="1"/>
  <c r="E76" i="7" s="1"/>
  <c r="B75" i="7"/>
  <c r="D75" i="7" s="1"/>
  <c r="E75" i="7" s="1"/>
  <c r="D74" i="7"/>
  <c r="E74" i="7" s="1"/>
  <c r="B74" i="7"/>
  <c r="B73" i="7"/>
  <c r="B72" i="7"/>
  <c r="B71" i="7"/>
  <c r="B70" i="7"/>
  <c r="B67" i="7"/>
  <c r="D67" i="7" s="1"/>
  <c r="E67" i="7" s="1"/>
  <c r="B66" i="7"/>
  <c r="B65" i="7"/>
  <c r="D65" i="7" s="1"/>
  <c r="E65" i="7" s="1"/>
  <c r="D64" i="7"/>
  <c r="E64" i="7" s="1"/>
  <c r="B64" i="7"/>
  <c r="B63" i="7"/>
  <c r="B61" i="7"/>
  <c r="B60" i="7"/>
  <c r="D60" i="7" s="1"/>
  <c r="E60" i="7" s="1"/>
  <c r="B59" i="7"/>
  <c r="B58" i="7"/>
  <c r="B57" i="7"/>
  <c r="D57" i="7" s="1"/>
  <c r="E57" i="7" s="1"/>
  <c r="B56" i="7"/>
  <c r="D56" i="7" s="1"/>
  <c r="E56" i="7" s="1"/>
  <c r="B55" i="7"/>
  <c r="B54" i="7"/>
  <c r="B53" i="7"/>
  <c r="D53" i="7" s="1"/>
  <c r="E53" i="7" s="1"/>
  <c r="B52" i="7"/>
  <c r="B51" i="7"/>
  <c r="D51" i="7" s="1"/>
  <c r="E51" i="7" s="1"/>
  <c r="B50" i="7"/>
  <c r="D50" i="7" s="1"/>
  <c r="E50" i="7" s="1"/>
  <c r="B49" i="7"/>
  <c r="D49" i="7" s="1"/>
  <c r="E49" i="7" s="1"/>
  <c r="B48" i="7"/>
  <c r="B47" i="7"/>
  <c r="D47" i="7" s="1"/>
  <c r="E47" i="7" s="1"/>
  <c r="B46" i="7"/>
  <c r="B45" i="7"/>
  <c r="B42" i="7"/>
  <c r="B41" i="7"/>
  <c r="B40" i="7"/>
  <c r="B39" i="7"/>
  <c r="D39" i="7" s="1"/>
  <c r="E39" i="7" s="1"/>
  <c r="B38" i="7"/>
  <c r="D38" i="7" s="1"/>
  <c r="E38" i="7" s="1"/>
  <c r="B37" i="7"/>
  <c r="D37" i="7" s="1"/>
  <c r="E37" i="7" s="1"/>
  <c r="B36" i="7"/>
  <c r="D36" i="7" s="1"/>
  <c r="E36" i="7" s="1"/>
  <c r="B35" i="7"/>
  <c r="B34" i="7"/>
  <c r="B33" i="7"/>
  <c r="B32" i="7"/>
  <c r="D32" i="7" s="1"/>
  <c r="E32" i="7" s="1"/>
  <c r="B31" i="7"/>
  <c r="D31" i="7" s="1"/>
  <c r="E31" i="7" s="1"/>
  <c r="B30" i="7"/>
  <c r="D30" i="7" s="1"/>
  <c r="E30" i="7" s="1"/>
  <c r="B29" i="7"/>
  <c r="B28" i="7"/>
  <c r="B27" i="7"/>
  <c r="D26" i="7"/>
  <c r="E26" i="7" s="1"/>
  <c r="B26" i="7"/>
  <c r="B25" i="7"/>
  <c r="D25" i="7" s="1"/>
  <c r="E25" i="7" s="1"/>
  <c r="B24" i="7"/>
  <c r="D24" i="7" s="1"/>
  <c r="E24" i="7" s="1"/>
  <c r="B23" i="7"/>
  <c r="D23" i="7" s="1"/>
  <c r="E23" i="7" s="1"/>
  <c r="B22" i="7"/>
  <c r="B21" i="7"/>
  <c r="B20" i="7"/>
  <c r="B19" i="7"/>
  <c r="D18" i="7"/>
  <c r="E18" i="7" s="1"/>
  <c r="B18" i="7"/>
  <c r="B17" i="7"/>
  <c r="B16" i="7"/>
  <c r="B13" i="7"/>
  <c r="B9" i="7"/>
  <c r="B82" i="7" l="1"/>
  <c r="B68" i="7"/>
  <c r="D17" i="7"/>
  <c r="E17" i="7" s="1"/>
  <c r="D45" i="7"/>
  <c r="E45" i="7" s="1"/>
  <c r="B88" i="7"/>
  <c r="D35" i="7"/>
  <c r="E35" i="7" s="1"/>
  <c r="D71" i="7"/>
  <c r="E71" i="7" s="1"/>
  <c r="D88" i="9"/>
  <c r="E88" i="9" s="1"/>
  <c r="D55" i="7"/>
  <c r="E55" i="7" s="1"/>
  <c r="D63" i="7"/>
  <c r="E63" i="7" s="1"/>
  <c r="B98" i="7"/>
  <c r="D92" i="7"/>
  <c r="E92" i="7" s="1"/>
  <c r="D21" i="7"/>
  <c r="E21" i="7" s="1"/>
  <c r="D28" i="7"/>
  <c r="E28" i="7" s="1"/>
  <c r="D52" i="7"/>
  <c r="E52" i="7" s="1"/>
  <c r="D59" i="7"/>
  <c r="E59" i="7" s="1"/>
  <c r="D61" i="7"/>
  <c r="E61" i="7" s="1"/>
  <c r="D73" i="7"/>
  <c r="E73" i="7" s="1"/>
  <c r="D45" i="8"/>
  <c r="E45" i="8" s="1"/>
  <c r="D48" i="7"/>
  <c r="E48" i="7" s="1"/>
  <c r="D58" i="7"/>
  <c r="E58" i="7" s="1"/>
  <c r="D66" i="7"/>
  <c r="E66" i="7" s="1"/>
  <c r="D79" i="7"/>
  <c r="E79" i="7" s="1"/>
  <c r="D85" i="7"/>
  <c r="E85" i="7" s="1"/>
  <c r="D27" i="7"/>
  <c r="E27" i="7" s="1"/>
  <c r="D54" i="7"/>
  <c r="E54" i="7" s="1"/>
  <c r="D41" i="7"/>
  <c r="E41" i="7" s="1"/>
  <c r="D22" i="7"/>
  <c r="E22" i="7" s="1"/>
  <c r="D29" i="7"/>
  <c r="E29" i="7" s="1"/>
  <c r="D40" i="7"/>
  <c r="E40" i="7" s="1"/>
  <c r="D72" i="7"/>
  <c r="E72" i="7" s="1"/>
  <c r="D94" i="7"/>
  <c r="E94" i="7" s="1"/>
  <c r="D82" i="8"/>
  <c r="E82" i="8" s="1"/>
  <c r="D70" i="8"/>
  <c r="E70" i="8" s="1"/>
  <c r="D84" i="8"/>
  <c r="E84" i="8" s="1"/>
  <c r="D87" i="8"/>
  <c r="E87" i="8" s="1"/>
  <c r="D42" i="11"/>
  <c r="E42" i="11" s="1"/>
  <c r="D16" i="9"/>
  <c r="E16" i="9" s="1"/>
  <c r="D68" i="8"/>
  <c r="E68" i="8" s="1"/>
  <c r="K102" i="6"/>
  <c r="J102" i="6"/>
  <c r="I102" i="6"/>
  <c r="H102" i="6"/>
  <c r="G102" i="6"/>
  <c r="F102" i="6"/>
  <c r="F100" i="6"/>
  <c r="C100" i="6"/>
  <c r="B100" i="6"/>
  <c r="F98" i="6"/>
  <c r="K97" i="6"/>
  <c r="J97" i="6"/>
  <c r="I97" i="6"/>
  <c r="H97" i="6"/>
  <c r="G97" i="6"/>
  <c r="F97" i="6"/>
  <c r="C97" i="6" s="1"/>
  <c r="D97" i="6" s="1"/>
  <c r="E97" i="6" s="1"/>
  <c r="B97" i="6"/>
  <c r="K96" i="6"/>
  <c r="J96" i="6"/>
  <c r="I96" i="6"/>
  <c r="H96" i="6"/>
  <c r="G96" i="6"/>
  <c r="F96" i="6"/>
  <c r="C96" i="6"/>
  <c r="D96" i="6" s="1"/>
  <c r="E96" i="6" s="1"/>
  <c r="B96" i="6"/>
  <c r="K95" i="6"/>
  <c r="J95" i="6"/>
  <c r="I95" i="6"/>
  <c r="H95" i="6"/>
  <c r="G95" i="6"/>
  <c r="F95" i="6"/>
  <c r="C95" i="6"/>
  <c r="D95" i="6" s="1"/>
  <c r="E95" i="6" s="1"/>
  <c r="B95" i="6"/>
  <c r="K94" i="6"/>
  <c r="J94" i="6"/>
  <c r="C94" i="6" s="1"/>
  <c r="D94" i="6" s="1"/>
  <c r="E94" i="6" s="1"/>
  <c r="I94" i="6"/>
  <c r="H94" i="6"/>
  <c r="G94" i="6"/>
  <c r="F94" i="6"/>
  <c r="B94" i="6"/>
  <c r="K93" i="6"/>
  <c r="J93" i="6"/>
  <c r="I93" i="6"/>
  <c r="H93" i="6"/>
  <c r="C93" i="6" s="1"/>
  <c r="D93" i="6" s="1"/>
  <c r="E93" i="6" s="1"/>
  <c r="G93" i="6"/>
  <c r="F93" i="6"/>
  <c r="B93" i="6"/>
  <c r="K92" i="6"/>
  <c r="K98" i="6" s="1"/>
  <c r="J92" i="6"/>
  <c r="J98" i="6" s="1"/>
  <c r="I92" i="6"/>
  <c r="I98" i="6" s="1"/>
  <c r="H92" i="6"/>
  <c r="H98" i="6" s="1"/>
  <c r="G92" i="6"/>
  <c r="G98" i="6" s="1"/>
  <c r="F92" i="6"/>
  <c r="C92" i="6" s="1"/>
  <c r="D92" i="6" s="1"/>
  <c r="E92" i="6" s="1"/>
  <c r="B92" i="6"/>
  <c r="B98" i="6" s="1"/>
  <c r="K91" i="6"/>
  <c r="J91" i="6"/>
  <c r="I91" i="6"/>
  <c r="H91" i="6"/>
  <c r="G91" i="6"/>
  <c r="F91" i="6"/>
  <c r="C91" i="6" s="1"/>
  <c r="B91" i="6"/>
  <c r="B87" i="6"/>
  <c r="K86" i="6"/>
  <c r="J86" i="6"/>
  <c r="C86" i="6" s="1"/>
  <c r="D86" i="6" s="1"/>
  <c r="E86" i="6" s="1"/>
  <c r="I86" i="6"/>
  <c r="H86" i="6"/>
  <c r="G86" i="6"/>
  <c r="F86" i="6"/>
  <c r="B86" i="6"/>
  <c r="K85" i="6"/>
  <c r="J85" i="6"/>
  <c r="I85" i="6"/>
  <c r="H85" i="6"/>
  <c r="C85" i="6" s="1"/>
  <c r="D85" i="6" s="1"/>
  <c r="E85" i="6" s="1"/>
  <c r="G85" i="6"/>
  <c r="F85" i="6"/>
  <c r="B85" i="6"/>
  <c r="K84" i="6"/>
  <c r="K87" i="6" s="1"/>
  <c r="J84" i="6"/>
  <c r="J87" i="6" s="1"/>
  <c r="I84" i="6"/>
  <c r="I87" i="6" s="1"/>
  <c r="H84" i="6"/>
  <c r="H87" i="6" s="1"/>
  <c r="G84" i="6"/>
  <c r="G87" i="6" s="1"/>
  <c r="F84" i="6"/>
  <c r="C84" i="6" s="1"/>
  <c r="B84" i="6"/>
  <c r="K81" i="6"/>
  <c r="J81" i="6"/>
  <c r="I81" i="6"/>
  <c r="H81" i="6"/>
  <c r="G81" i="6"/>
  <c r="F81" i="6"/>
  <c r="C81" i="6"/>
  <c r="D81" i="6" s="1"/>
  <c r="E81" i="6" s="1"/>
  <c r="B81" i="6"/>
  <c r="K80" i="6"/>
  <c r="J80" i="6"/>
  <c r="I80" i="6"/>
  <c r="H80" i="6"/>
  <c r="G80" i="6"/>
  <c r="F80" i="6"/>
  <c r="C80" i="6"/>
  <c r="D80" i="6" s="1"/>
  <c r="E80" i="6" s="1"/>
  <c r="B80" i="6"/>
  <c r="K79" i="6"/>
  <c r="J79" i="6"/>
  <c r="C79" i="6" s="1"/>
  <c r="D79" i="6" s="1"/>
  <c r="E79" i="6" s="1"/>
  <c r="I79" i="6"/>
  <c r="H79" i="6"/>
  <c r="G79" i="6"/>
  <c r="F79" i="6"/>
  <c r="B79" i="6"/>
  <c r="K78" i="6"/>
  <c r="J78" i="6"/>
  <c r="I78" i="6"/>
  <c r="H78" i="6"/>
  <c r="C78" i="6" s="1"/>
  <c r="D78" i="6" s="1"/>
  <c r="E78" i="6" s="1"/>
  <c r="G78" i="6"/>
  <c r="F78" i="6"/>
  <c r="B78" i="6"/>
  <c r="K77" i="6"/>
  <c r="J77" i="6"/>
  <c r="I77" i="6"/>
  <c r="H77" i="6"/>
  <c r="G77" i="6"/>
  <c r="F77" i="6"/>
  <c r="C77" i="6" s="1"/>
  <c r="D77" i="6" s="1"/>
  <c r="E77" i="6" s="1"/>
  <c r="B77" i="6"/>
  <c r="K76" i="6"/>
  <c r="J76" i="6"/>
  <c r="I76" i="6"/>
  <c r="H76" i="6"/>
  <c r="G76" i="6"/>
  <c r="F76" i="6"/>
  <c r="C76" i="6" s="1"/>
  <c r="D76" i="6" s="1"/>
  <c r="E76" i="6" s="1"/>
  <c r="B76" i="6"/>
  <c r="K75" i="6"/>
  <c r="J75" i="6"/>
  <c r="I75" i="6"/>
  <c r="H75" i="6"/>
  <c r="G75" i="6"/>
  <c r="F75" i="6"/>
  <c r="C75" i="6"/>
  <c r="D75" i="6" s="1"/>
  <c r="E75" i="6" s="1"/>
  <c r="B75" i="6"/>
  <c r="K74" i="6"/>
  <c r="J74" i="6"/>
  <c r="I74" i="6"/>
  <c r="H74" i="6"/>
  <c r="G74" i="6"/>
  <c r="F74" i="6"/>
  <c r="C74" i="6"/>
  <c r="D74" i="6" s="1"/>
  <c r="E74" i="6" s="1"/>
  <c r="B74" i="6"/>
  <c r="K73" i="6"/>
  <c r="J73" i="6"/>
  <c r="C73" i="6" s="1"/>
  <c r="D73" i="6" s="1"/>
  <c r="E73" i="6" s="1"/>
  <c r="I73" i="6"/>
  <c r="H73" i="6"/>
  <c r="G73" i="6"/>
  <c r="F73" i="6"/>
  <c r="B73" i="6"/>
  <c r="K72" i="6"/>
  <c r="J72" i="6"/>
  <c r="I72" i="6"/>
  <c r="H72" i="6"/>
  <c r="C72" i="6" s="1"/>
  <c r="D72" i="6" s="1"/>
  <c r="E72" i="6" s="1"/>
  <c r="G72" i="6"/>
  <c r="F72" i="6"/>
  <c r="B72" i="6"/>
  <c r="K71" i="6"/>
  <c r="J71" i="6"/>
  <c r="I71" i="6"/>
  <c r="H71" i="6"/>
  <c r="G71" i="6"/>
  <c r="F71" i="6"/>
  <c r="C71" i="6" s="1"/>
  <c r="B71" i="6"/>
  <c r="K70" i="6"/>
  <c r="K82" i="6" s="1"/>
  <c r="J70" i="6"/>
  <c r="J82" i="6" s="1"/>
  <c r="I70" i="6"/>
  <c r="I82" i="6" s="1"/>
  <c r="H70" i="6"/>
  <c r="H82" i="6" s="1"/>
  <c r="G70" i="6"/>
  <c r="G82" i="6" s="1"/>
  <c r="F70" i="6"/>
  <c r="F82" i="6" s="1"/>
  <c r="B70" i="6"/>
  <c r="B82" i="6" s="1"/>
  <c r="G68" i="6"/>
  <c r="B68" i="6"/>
  <c r="B88" i="6" s="1"/>
  <c r="K67" i="6"/>
  <c r="J67" i="6"/>
  <c r="I67" i="6"/>
  <c r="H67" i="6"/>
  <c r="G67" i="6"/>
  <c r="F67" i="6"/>
  <c r="C67" i="6"/>
  <c r="D67" i="6" s="1"/>
  <c r="E67" i="6" s="1"/>
  <c r="B67" i="6"/>
  <c r="K66" i="6"/>
  <c r="J66" i="6"/>
  <c r="C66" i="6" s="1"/>
  <c r="D66" i="6" s="1"/>
  <c r="E66" i="6" s="1"/>
  <c r="I66" i="6"/>
  <c r="H66" i="6"/>
  <c r="G66" i="6"/>
  <c r="F66" i="6"/>
  <c r="B66" i="6"/>
  <c r="K65" i="6"/>
  <c r="J65" i="6"/>
  <c r="I65" i="6"/>
  <c r="H65" i="6"/>
  <c r="C65" i="6" s="1"/>
  <c r="D65" i="6" s="1"/>
  <c r="E65" i="6" s="1"/>
  <c r="G65" i="6"/>
  <c r="F65" i="6"/>
  <c r="B65" i="6"/>
  <c r="K64" i="6"/>
  <c r="J64" i="6"/>
  <c r="I64" i="6"/>
  <c r="H64" i="6"/>
  <c r="G64" i="6"/>
  <c r="F64" i="6"/>
  <c r="C64" i="6" s="1"/>
  <c r="D64" i="6" s="1"/>
  <c r="E64" i="6" s="1"/>
  <c r="B64" i="6"/>
  <c r="K63" i="6"/>
  <c r="K68" i="6" s="1"/>
  <c r="J63" i="6"/>
  <c r="J68" i="6" s="1"/>
  <c r="I63" i="6"/>
  <c r="I68" i="6" s="1"/>
  <c r="H63" i="6"/>
  <c r="H68" i="6" s="1"/>
  <c r="G63" i="6"/>
  <c r="F63" i="6"/>
  <c r="C63" i="6" s="1"/>
  <c r="B63" i="6"/>
  <c r="K61" i="6"/>
  <c r="J61" i="6"/>
  <c r="I61" i="6"/>
  <c r="H61" i="6"/>
  <c r="G61" i="6"/>
  <c r="F61" i="6"/>
  <c r="C61" i="6"/>
  <c r="B61" i="6"/>
  <c r="D61" i="6" s="1"/>
  <c r="E61" i="6" s="1"/>
  <c r="K60" i="6"/>
  <c r="J60" i="6"/>
  <c r="I60" i="6"/>
  <c r="H60" i="6"/>
  <c r="G60" i="6"/>
  <c r="F60" i="6"/>
  <c r="C60" i="6"/>
  <c r="B60" i="6"/>
  <c r="D60" i="6" s="1"/>
  <c r="E60" i="6" s="1"/>
  <c r="K59" i="6"/>
  <c r="J59" i="6"/>
  <c r="C59" i="6" s="1"/>
  <c r="I59" i="6"/>
  <c r="H59" i="6"/>
  <c r="G59" i="6"/>
  <c r="F59" i="6"/>
  <c r="B59" i="6"/>
  <c r="K58" i="6"/>
  <c r="J58" i="6"/>
  <c r="I58" i="6"/>
  <c r="H58" i="6"/>
  <c r="C58" i="6" s="1"/>
  <c r="G58" i="6"/>
  <c r="F58" i="6"/>
  <c r="B58" i="6"/>
  <c r="D58" i="6" s="1"/>
  <c r="E58" i="6" s="1"/>
  <c r="K57" i="6"/>
  <c r="J57" i="6"/>
  <c r="I57" i="6"/>
  <c r="H57" i="6"/>
  <c r="G57" i="6"/>
  <c r="F57" i="6"/>
  <c r="C57" i="6" s="1"/>
  <c r="B57" i="6"/>
  <c r="D57" i="6" s="1"/>
  <c r="E57" i="6" s="1"/>
  <c r="K56" i="6"/>
  <c r="J56" i="6"/>
  <c r="I56" i="6"/>
  <c r="H56" i="6"/>
  <c r="G56" i="6"/>
  <c r="F56" i="6"/>
  <c r="C56" i="6" s="1"/>
  <c r="D56" i="6" s="1"/>
  <c r="E56" i="6" s="1"/>
  <c r="B56" i="6"/>
  <c r="K55" i="6"/>
  <c r="J55" i="6"/>
  <c r="I55" i="6"/>
  <c r="H55" i="6"/>
  <c r="G55" i="6"/>
  <c r="F55" i="6"/>
  <c r="C55" i="6"/>
  <c r="B55" i="6"/>
  <c r="D55" i="6" s="1"/>
  <c r="E55" i="6" s="1"/>
  <c r="K54" i="6"/>
  <c r="J54" i="6"/>
  <c r="I54" i="6"/>
  <c r="H54" i="6"/>
  <c r="G54" i="6"/>
  <c r="F54" i="6"/>
  <c r="C54" i="6"/>
  <c r="B54" i="6"/>
  <c r="D54" i="6" s="1"/>
  <c r="E54" i="6" s="1"/>
  <c r="K53" i="6"/>
  <c r="J53" i="6"/>
  <c r="C53" i="6" s="1"/>
  <c r="I53" i="6"/>
  <c r="H53" i="6"/>
  <c r="G53" i="6"/>
  <c r="F53" i="6"/>
  <c r="B53" i="6"/>
  <c r="D53" i="6" s="1"/>
  <c r="E53" i="6" s="1"/>
  <c r="K52" i="6"/>
  <c r="J52" i="6"/>
  <c r="I52" i="6"/>
  <c r="H52" i="6"/>
  <c r="C52" i="6" s="1"/>
  <c r="G52" i="6"/>
  <c r="F52" i="6"/>
  <c r="B52" i="6"/>
  <c r="D52" i="6" s="1"/>
  <c r="E52" i="6" s="1"/>
  <c r="K51" i="6"/>
  <c r="J51" i="6"/>
  <c r="I51" i="6"/>
  <c r="H51" i="6"/>
  <c r="G51" i="6"/>
  <c r="F51" i="6"/>
  <c r="C51" i="6" s="1"/>
  <c r="B51" i="6"/>
  <c r="D51" i="6" s="1"/>
  <c r="E51" i="6" s="1"/>
  <c r="K50" i="6"/>
  <c r="J50" i="6"/>
  <c r="I50" i="6"/>
  <c r="H50" i="6"/>
  <c r="G50" i="6"/>
  <c r="F50" i="6"/>
  <c r="C50" i="6" s="1"/>
  <c r="D50" i="6" s="1"/>
  <c r="E50" i="6" s="1"/>
  <c r="B50" i="6"/>
  <c r="K49" i="6"/>
  <c r="J49" i="6"/>
  <c r="I49" i="6"/>
  <c r="H49" i="6"/>
  <c r="G49" i="6"/>
  <c r="F49" i="6"/>
  <c r="C49" i="6"/>
  <c r="B49" i="6"/>
  <c r="D49" i="6" s="1"/>
  <c r="E49" i="6" s="1"/>
  <c r="K48" i="6"/>
  <c r="J48" i="6"/>
  <c r="I48" i="6"/>
  <c r="H48" i="6"/>
  <c r="G48" i="6"/>
  <c r="F48" i="6"/>
  <c r="C48" i="6"/>
  <c r="B48" i="6"/>
  <c r="D48" i="6" s="1"/>
  <c r="E48" i="6" s="1"/>
  <c r="K47" i="6"/>
  <c r="J47" i="6"/>
  <c r="C47" i="6" s="1"/>
  <c r="I47" i="6"/>
  <c r="H47" i="6"/>
  <c r="G47" i="6"/>
  <c r="F47" i="6"/>
  <c r="B47" i="6"/>
  <c r="D47" i="6" s="1"/>
  <c r="E47" i="6" s="1"/>
  <c r="K46" i="6"/>
  <c r="J46" i="6"/>
  <c r="I46" i="6"/>
  <c r="H46" i="6"/>
  <c r="G46" i="6"/>
  <c r="F46" i="6"/>
  <c r="B46" i="6"/>
  <c r="K45" i="6"/>
  <c r="J45" i="6"/>
  <c r="I45" i="6"/>
  <c r="H45" i="6"/>
  <c r="G45" i="6"/>
  <c r="F45" i="6"/>
  <c r="C45" i="6" s="1"/>
  <c r="B45" i="6"/>
  <c r="K42" i="6"/>
  <c r="J42" i="6"/>
  <c r="H42" i="6"/>
  <c r="G42" i="6"/>
  <c r="F42" i="6"/>
  <c r="B42" i="6"/>
  <c r="K41" i="6"/>
  <c r="J41" i="6"/>
  <c r="I41" i="6"/>
  <c r="H41" i="6"/>
  <c r="G41" i="6"/>
  <c r="F41" i="6"/>
  <c r="C41" i="6"/>
  <c r="D41" i="6" s="1"/>
  <c r="E41" i="6" s="1"/>
  <c r="B41" i="6"/>
  <c r="K40" i="6"/>
  <c r="J40" i="6"/>
  <c r="I40" i="6"/>
  <c r="H40" i="6"/>
  <c r="G40" i="6"/>
  <c r="F40" i="6"/>
  <c r="C40" i="6"/>
  <c r="D40" i="6" s="1"/>
  <c r="E40" i="6" s="1"/>
  <c r="B40" i="6"/>
  <c r="K39" i="6"/>
  <c r="J39" i="6"/>
  <c r="C39" i="6" s="1"/>
  <c r="D39" i="6" s="1"/>
  <c r="E39" i="6" s="1"/>
  <c r="I39" i="6"/>
  <c r="H39" i="6"/>
  <c r="G39" i="6"/>
  <c r="F39" i="6"/>
  <c r="B39" i="6"/>
  <c r="K38" i="6"/>
  <c r="J38" i="6"/>
  <c r="I38" i="6"/>
  <c r="I42" i="6" s="1"/>
  <c r="H38" i="6"/>
  <c r="C38" i="6" s="1"/>
  <c r="D38" i="6" s="1"/>
  <c r="E38" i="6" s="1"/>
  <c r="G38" i="6"/>
  <c r="F38" i="6"/>
  <c r="B38" i="6"/>
  <c r="K37" i="6"/>
  <c r="J37" i="6"/>
  <c r="I37" i="6"/>
  <c r="H37" i="6"/>
  <c r="G37" i="6"/>
  <c r="F37" i="6"/>
  <c r="C37" i="6" s="1"/>
  <c r="D37" i="6" s="1"/>
  <c r="E37" i="6" s="1"/>
  <c r="B37" i="6"/>
  <c r="K36" i="6"/>
  <c r="J36" i="6"/>
  <c r="I36" i="6"/>
  <c r="H36" i="6"/>
  <c r="G36" i="6"/>
  <c r="F36" i="6"/>
  <c r="C36" i="6" s="1"/>
  <c r="D36" i="6" s="1"/>
  <c r="E36" i="6" s="1"/>
  <c r="B36" i="6"/>
  <c r="K35" i="6"/>
  <c r="J35" i="6"/>
  <c r="I35" i="6"/>
  <c r="H35" i="6"/>
  <c r="G35" i="6"/>
  <c r="F35" i="6"/>
  <c r="C35" i="6"/>
  <c r="D35" i="6" s="1"/>
  <c r="E35" i="6" s="1"/>
  <c r="B35" i="6"/>
  <c r="K34" i="6"/>
  <c r="J34" i="6"/>
  <c r="I34" i="6"/>
  <c r="H34" i="6"/>
  <c r="G34" i="6"/>
  <c r="F34" i="6"/>
  <c r="C34" i="6"/>
  <c r="B34" i="6"/>
  <c r="K33" i="6"/>
  <c r="J33" i="6"/>
  <c r="I33" i="6"/>
  <c r="H33" i="6"/>
  <c r="G33" i="6"/>
  <c r="F33" i="6"/>
  <c r="B33" i="6"/>
  <c r="K32" i="6"/>
  <c r="J32" i="6"/>
  <c r="I32" i="6"/>
  <c r="H32" i="6"/>
  <c r="C32" i="6" s="1"/>
  <c r="D32" i="6" s="1"/>
  <c r="E32" i="6" s="1"/>
  <c r="G32" i="6"/>
  <c r="F32" i="6"/>
  <c r="B32" i="6"/>
  <c r="K31" i="6"/>
  <c r="J31" i="6"/>
  <c r="I31" i="6"/>
  <c r="H31" i="6"/>
  <c r="G31" i="6"/>
  <c r="F31" i="6"/>
  <c r="C31" i="6" s="1"/>
  <c r="D31" i="6" s="1"/>
  <c r="E31" i="6" s="1"/>
  <c r="B31" i="6"/>
  <c r="K30" i="6"/>
  <c r="J30" i="6"/>
  <c r="I30" i="6"/>
  <c r="H30" i="6"/>
  <c r="G30" i="6"/>
  <c r="F30" i="6"/>
  <c r="C30" i="6" s="1"/>
  <c r="B30" i="6"/>
  <c r="K29" i="6"/>
  <c r="J29" i="6"/>
  <c r="I29" i="6"/>
  <c r="H29" i="6"/>
  <c r="G29" i="6"/>
  <c r="F29" i="6"/>
  <c r="B29" i="6"/>
  <c r="K28" i="6"/>
  <c r="J28" i="6"/>
  <c r="I28" i="6"/>
  <c r="H28" i="6"/>
  <c r="G28" i="6"/>
  <c r="F28" i="6"/>
  <c r="C28" i="6"/>
  <c r="D28" i="6" s="1"/>
  <c r="E28" i="6" s="1"/>
  <c r="B28" i="6"/>
  <c r="K27" i="6"/>
  <c r="J27" i="6"/>
  <c r="C27" i="6" s="1"/>
  <c r="D27" i="6" s="1"/>
  <c r="E27" i="6" s="1"/>
  <c r="I27" i="6"/>
  <c r="H27" i="6"/>
  <c r="G27" i="6"/>
  <c r="F27" i="6"/>
  <c r="B27" i="6"/>
  <c r="K26" i="6"/>
  <c r="J26" i="6"/>
  <c r="I26" i="6"/>
  <c r="H26" i="6"/>
  <c r="C26" i="6" s="1"/>
  <c r="D26" i="6" s="1"/>
  <c r="E26" i="6" s="1"/>
  <c r="G26" i="6"/>
  <c r="F26" i="6"/>
  <c r="B26" i="6"/>
  <c r="K25" i="6"/>
  <c r="J25" i="6"/>
  <c r="I25" i="6"/>
  <c r="H25" i="6"/>
  <c r="G25" i="6"/>
  <c r="F25" i="6"/>
  <c r="C25" i="6" s="1"/>
  <c r="D25" i="6" s="1"/>
  <c r="E25" i="6" s="1"/>
  <c r="B25" i="6"/>
  <c r="K24" i="6"/>
  <c r="J24" i="6"/>
  <c r="I24" i="6"/>
  <c r="H24" i="6"/>
  <c r="G24" i="6"/>
  <c r="F24" i="6"/>
  <c r="C24" i="6" s="1"/>
  <c r="D24" i="6" s="1"/>
  <c r="E24" i="6" s="1"/>
  <c r="B24" i="6"/>
  <c r="K23" i="6"/>
  <c r="J23" i="6"/>
  <c r="I23" i="6"/>
  <c r="H23" i="6"/>
  <c r="G23" i="6"/>
  <c r="F23" i="6"/>
  <c r="C23" i="6"/>
  <c r="D23" i="6" s="1"/>
  <c r="E23" i="6" s="1"/>
  <c r="B23" i="6"/>
  <c r="K22" i="6"/>
  <c r="J22" i="6"/>
  <c r="I22" i="6"/>
  <c r="H22" i="6"/>
  <c r="G22" i="6"/>
  <c r="F22" i="6"/>
  <c r="C22" i="6"/>
  <c r="D22" i="6" s="1"/>
  <c r="E22" i="6" s="1"/>
  <c r="B22" i="6"/>
  <c r="K21" i="6"/>
  <c r="J21" i="6"/>
  <c r="C21" i="6" s="1"/>
  <c r="D21" i="6" s="1"/>
  <c r="E21" i="6" s="1"/>
  <c r="I21" i="6"/>
  <c r="H21" i="6"/>
  <c r="G21" i="6"/>
  <c r="F21" i="6"/>
  <c r="B21" i="6"/>
  <c r="K20" i="6"/>
  <c r="J20" i="6"/>
  <c r="I20" i="6"/>
  <c r="H20" i="6"/>
  <c r="C20" i="6" s="1"/>
  <c r="G20" i="6"/>
  <c r="F20" i="6"/>
  <c r="B20" i="6"/>
  <c r="K19" i="6"/>
  <c r="J19" i="6"/>
  <c r="I19" i="6"/>
  <c r="H19" i="6"/>
  <c r="G19" i="6"/>
  <c r="F19" i="6"/>
  <c r="B19" i="6"/>
  <c r="K18" i="6"/>
  <c r="J18" i="6"/>
  <c r="I18" i="6"/>
  <c r="H18" i="6"/>
  <c r="G18" i="6"/>
  <c r="F18" i="6"/>
  <c r="C18" i="6" s="1"/>
  <c r="D18" i="6" s="1"/>
  <c r="E18" i="6" s="1"/>
  <c r="B18" i="6"/>
  <c r="K17" i="6"/>
  <c r="J17" i="6"/>
  <c r="I17" i="6"/>
  <c r="H17" i="6"/>
  <c r="G17" i="6"/>
  <c r="F17" i="6"/>
  <c r="C17" i="6"/>
  <c r="B17" i="6"/>
  <c r="K16" i="6"/>
  <c r="J16" i="6"/>
  <c r="I16" i="6"/>
  <c r="H16" i="6"/>
  <c r="G16" i="6"/>
  <c r="F16" i="6"/>
  <c r="B16" i="6"/>
  <c r="B13" i="6"/>
  <c r="B9" i="6"/>
  <c r="B99" i="7" l="1"/>
  <c r="B101" i="7" s="1"/>
  <c r="C98" i="6"/>
  <c r="D98" i="6" s="1"/>
  <c r="E98" i="6" s="1"/>
  <c r="D91" i="6"/>
  <c r="E91" i="6" s="1"/>
  <c r="D84" i="6"/>
  <c r="E84" i="6" s="1"/>
  <c r="C87" i="6"/>
  <c r="D87" i="6" s="1"/>
  <c r="E87" i="6" s="1"/>
  <c r="D45" i="6"/>
  <c r="E45" i="6" s="1"/>
  <c r="D46" i="7"/>
  <c r="E46" i="7" s="1"/>
  <c r="G88" i="6"/>
  <c r="G99" i="6" s="1"/>
  <c r="C29" i="6"/>
  <c r="D29" i="6" s="1"/>
  <c r="E29" i="6" s="1"/>
  <c r="D30" i="6"/>
  <c r="E30" i="6" s="1"/>
  <c r="H88" i="6"/>
  <c r="H99" i="6" s="1"/>
  <c r="C70" i="6"/>
  <c r="D71" i="6"/>
  <c r="E71" i="6" s="1"/>
  <c r="C19" i="6"/>
  <c r="D19" i="6" s="1"/>
  <c r="E19" i="6" s="1"/>
  <c r="D20" i="6"/>
  <c r="E20" i="6" s="1"/>
  <c r="I88" i="6"/>
  <c r="I99" i="6" s="1"/>
  <c r="J88" i="6"/>
  <c r="J99" i="6" s="1"/>
  <c r="B99" i="6"/>
  <c r="B101" i="6" s="1"/>
  <c r="K88" i="6"/>
  <c r="K99" i="6" s="1"/>
  <c r="D59" i="6"/>
  <c r="E59" i="6" s="1"/>
  <c r="C68" i="6"/>
  <c r="D68" i="6" s="1"/>
  <c r="E68" i="6" s="1"/>
  <c r="D63" i="6"/>
  <c r="E63" i="6" s="1"/>
  <c r="C33" i="6"/>
  <c r="D33" i="6" s="1"/>
  <c r="E33" i="6" s="1"/>
  <c r="F99" i="6"/>
  <c r="F101" i="6" s="1"/>
  <c r="C46" i="6"/>
  <c r="D46" i="6" s="1"/>
  <c r="E46" i="6" s="1"/>
  <c r="D87" i="7"/>
  <c r="E87" i="7" s="1"/>
  <c r="D84" i="7"/>
  <c r="E84" i="7" s="1"/>
  <c r="D20" i="7"/>
  <c r="E20" i="7" s="1"/>
  <c r="D34" i="6"/>
  <c r="E34" i="6" s="1"/>
  <c r="F68" i="6"/>
  <c r="F88" i="6"/>
  <c r="D33" i="7"/>
  <c r="E33" i="7" s="1"/>
  <c r="D34" i="7"/>
  <c r="E34" i="7" s="1"/>
  <c r="D82" i="7"/>
  <c r="E82" i="7" s="1"/>
  <c r="D70" i="7"/>
  <c r="E70" i="7" s="1"/>
  <c r="F87" i="6"/>
  <c r="D19" i="8"/>
  <c r="E19" i="8" s="1"/>
  <c r="D88" i="8"/>
  <c r="E88" i="8" s="1"/>
  <c r="D42" i="9"/>
  <c r="E42" i="9" s="1"/>
  <c r="D98" i="7"/>
  <c r="E98" i="7" s="1"/>
  <c r="D17" i="6"/>
  <c r="E17" i="6" s="1"/>
  <c r="D68" i="7"/>
  <c r="E68" i="7" s="1"/>
  <c r="K102" i="5"/>
  <c r="J102" i="5"/>
  <c r="I102" i="5"/>
  <c r="H102" i="5"/>
  <c r="G102" i="5"/>
  <c r="F102" i="5"/>
  <c r="F100" i="5"/>
  <c r="C100" i="5"/>
  <c r="B100" i="5"/>
  <c r="F98" i="5"/>
  <c r="K97" i="5"/>
  <c r="J97" i="5"/>
  <c r="I97" i="5"/>
  <c r="H97" i="5"/>
  <c r="G97" i="5"/>
  <c r="F97" i="5"/>
  <c r="C97" i="5" s="1"/>
  <c r="D97" i="5" s="1"/>
  <c r="E97" i="5" s="1"/>
  <c r="B97" i="5"/>
  <c r="K96" i="5"/>
  <c r="J96" i="5"/>
  <c r="I96" i="5"/>
  <c r="H96" i="5"/>
  <c r="G96" i="5"/>
  <c r="F96" i="5"/>
  <c r="C96" i="5"/>
  <c r="D96" i="5" s="1"/>
  <c r="E96" i="5" s="1"/>
  <c r="B96" i="5"/>
  <c r="K95" i="5"/>
  <c r="J95" i="5"/>
  <c r="I95" i="5"/>
  <c r="H95" i="5"/>
  <c r="G95" i="5"/>
  <c r="F95" i="5"/>
  <c r="C95" i="5"/>
  <c r="D95" i="5" s="1"/>
  <c r="E95" i="5" s="1"/>
  <c r="B95" i="5"/>
  <c r="K94" i="5"/>
  <c r="J94" i="5"/>
  <c r="C94" i="5" s="1"/>
  <c r="D94" i="5" s="1"/>
  <c r="E94" i="5" s="1"/>
  <c r="I94" i="5"/>
  <c r="H94" i="5"/>
  <c r="G94" i="5"/>
  <c r="F94" i="5"/>
  <c r="B94" i="5"/>
  <c r="K93" i="5"/>
  <c r="J93" i="5"/>
  <c r="I93" i="5"/>
  <c r="H93" i="5"/>
  <c r="C93" i="5" s="1"/>
  <c r="D93" i="5" s="1"/>
  <c r="E93" i="5" s="1"/>
  <c r="G93" i="5"/>
  <c r="F93" i="5"/>
  <c r="B93" i="5"/>
  <c r="K92" i="5"/>
  <c r="K98" i="5" s="1"/>
  <c r="J92" i="5"/>
  <c r="J98" i="5" s="1"/>
  <c r="I92" i="5"/>
  <c r="I98" i="5" s="1"/>
  <c r="H92" i="5"/>
  <c r="H98" i="5" s="1"/>
  <c r="G92" i="5"/>
  <c r="G98" i="5" s="1"/>
  <c r="F92" i="5"/>
  <c r="C92" i="5" s="1"/>
  <c r="D92" i="5" s="1"/>
  <c r="E92" i="5" s="1"/>
  <c r="B92" i="5"/>
  <c r="B98" i="5" s="1"/>
  <c r="K91" i="5"/>
  <c r="J91" i="5"/>
  <c r="I91" i="5"/>
  <c r="H91" i="5"/>
  <c r="G91" i="5"/>
  <c r="F91" i="5"/>
  <c r="C91" i="5" s="1"/>
  <c r="B91" i="5"/>
  <c r="B87" i="5"/>
  <c r="K86" i="5"/>
  <c r="J86" i="5"/>
  <c r="C86" i="5" s="1"/>
  <c r="D86" i="5" s="1"/>
  <c r="E86" i="5" s="1"/>
  <c r="I86" i="5"/>
  <c r="H86" i="5"/>
  <c r="G86" i="5"/>
  <c r="F86" i="5"/>
  <c r="B86" i="5"/>
  <c r="K85" i="5"/>
  <c r="J85" i="5"/>
  <c r="I85" i="5"/>
  <c r="H85" i="5"/>
  <c r="C85" i="5" s="1"/>
  <c r="D85" i="5" s="1"/>
  <c r="E85" i="5" s="1"/>
  <c r="G85" i="5"/>
  <c r="F85" i="5"/>
  <c r="B85" i="5"/>
  <c r="K84" i="5"/>
  <c r="K87" i="5" s="1"/>
  <c r="J84" i="5"/>
  <c r="J87" i="5" s="1"/>
  <c r="I84" i="5"/>
  <c r="I87" i="5" s="1"/>
  <c r="H84" i="5"/>
  <c r="H87" i="5" s="1"/>
  <c r="G84" i="5"/>
  <c r="G87" i="5" s="1"/>
  <c r="F84" i="5"/>
  <c r="C84" i="5" s="1"/>
  <c r="B84" i="5"/>
  <c r="K81" i="5"/>
  <c r="J81" i="5"/>
  <c r="I81" i="5"/>
  <c r="H81" i="5"/>
  <c r="G81" i="5"/>
  <c r="F81" i="5"/>
  <c r="C81" i="5"/>
  <c r="D81" i="5" s="1"/>
  <c r="E81" i="5" s="1"/>
  <c r="B81" i="5"/>
  <c r="K80" i="5"/>
  <c r="J80" i="5"/>
  <c r="I80" i="5"/>
  <c r="H80" i="5"/>
  <c r="G80" i="5"/>
  <c r="F80" i="5"/>
  <c r="C80" i="5"/>
  <c r="D80" i="5" s="1"/>
  <c r="E80" i="5" s="1"/>
  <c r="B80" i="5"/>
  <c r="K79" i="5"/>
  <c r="J79" i="5"/>
  <c r="C79" i="5" s="1"/>
  <c r="D79" i="5" s="1"/>
  <c r="E79" i="5" s="1"/>
  <c r="I79" i="5"/>
  <c r="H79" i="5"/>
  <c r="G79" i="5"/>
  <c r="F79" i="5"/>
  <c r="B79" i="5"/>
  <c r="K78" i="5"/>
  <c r="J78" i="5"/>
  <c r="I78" i="5"/>
  <c r="H78" i="5"/>
  <c r="C78" i="5" s="1"/>
  <c r="D78" i="5" s="1"/>
  <c r="E78" i="5" s="1"/>
  <c r="G78" i="5"/>
  <c r="F78" i="5"/>
  <c r="B78" i="5"/>
  <c r="K77" i="5"/>
  <c r="J77" i="5"/>
  <c r="I77" i="5"/>
  <c r="H77" i="5"/>
  <c r="G77" i="5"/>
  <c r="F77" i="5"/>
  <c r="C77" i="5" s="1"/>
  <c r="D77" i="5" s="1"/>
  <c r="E77" i="5" s="1"/>
  <c r="B77" i="5"/>
  <c r="K76" i="5"/>
  <c r="J76" i="5"/>
  <c r="I76" i="5"/>
  <c r="H76" i="5"/>
  <c r="G76" i="5"/>
  <c r="F76" i="5"/>
  <c r="C76" i="5" s="1"/>
  <c r="D76" i="5" s="1"/>
  <c r="E76" i="5" s="1"/>
  <c r="B76" i="5"/>
  <c r="K75" i="5"/>
  <c r="J75" i="5"/>
  <c r="I75" i="5"/>
  <c r="H75" i="5"/>
  <c r="G75" i="5"/>
  <c r="F75" i="5"/>
  <c r="C75" i="5"/>
  <c r="D75" i="5" s="1"/>
  <c r="E75" i="5" s="1"/>
  <c r="B75" i="5"/>
  <c r="K74" i="5"/>
  <c r="J74" i="5"/>
  <c r="I74" i="5"/>
  <c r="H74" i="5"/>
  <c r="G74" i="5"/>
  <c r="F74" i="5"/>
  <c r="C74" i="5"/>
  <c r="D74" i="5" s="1"/>
  <c r="E74" i="5" s="1"/>
  <c r="B74" i="5"/>
  <c r="K73" i="5"/>
  <c r="J73" i="5"/>
  <c r="C73" i="5" s="1"/>
  <c r="D73" i="5" s="1"/>
  <c r="E73" i="5" s="1"/>
  <c r="I73" i="5"/>
  <c r="H73" i="5"/>
  <c r="G73" i="5"/>
  <c r="F73" i="5"/>
  <c r="B73" i="5"/>
  <c r="K72" i="5"/>
  <c r="J72" i="5"/>
  <c r="I72" i="5"/>
  <c r="H72" i="5"/>
  <c r="C72" i="5" s="1"/>
  <c r="D72" i="5" s="1"/>
  <c r="E72" i="5" s="1"/>
  <c r="G72" i="5"/>
  <c r="F72" i="5"/>
  <c r="B72" i="5"/>
  <c r="K71" i="5"/>
  <c r="J71" i="5"/>
  <c r="I71" i="5"/>
  <c r="H71" i="5"/>
  <c r="G71" i="5"/>
  <c r="F71" i="5"/>
  <c r="C71" i="5" s="1"/>
  <c r="B71" i="5"/>
  <c r="K70" i="5"/>
  <c r="K82" i="5" s="1"/>
  <c r="J70" i="5"/>
  <c r="J82" i="5" s="1"/>
  <c r="I70" i="5"/>
  <c r="I82" i="5" s="1"/>
  <c r="H70" i="5"/>
  <c r="H82" i="5" s="1"/>
  <c r="G70" i="5"/>
  <c r="G82" i="5" s="1"/>
  <c r="F70" i="5"/>
  <c r="F82" i="5" s="1"/>
  <c r="B70" i="5"/>
  <c r="B82" i="5" s="1"/>
  <c r="G68" i="5"/>
  <c r="B68" i="5"/>
  <c r="K67" i="5"/>
  <c r="J67" i="5"/>
  <c r="I67" i="5"/>
  <c r="H67" i="5"/>
  <c r="G67" i="5"/>
  <c r="F67" i="5"/>
  <c r="C67" i="5"/>
  <c r="D67" i="5" s="1"/>
  <c r="E67" i="5" s="1"/>
  <c r="B67" i="5"/>
  <c r="K66" i="5"/>
  <c r="J66" i="5"/>
  <c r="C66" i="5" s="1"/>
  <c r="D66" i="5" s="1"/>
  <c r="E66" i="5" s="1"/>
  <c r="I66" i="5"/>
  <c r="H66" i="5"/>
  <c r="G66" i="5"/>
  <c r="F66" i="5"/>
  <c r="B66" i="5"/>
  <c r="K65" i="5"/>
  <c r="J65" i="5"/>
  <c r="I65" i="5"/>
  <c r="H65" i="5"/>
  <c r="C65" i="5" s="1"/>
  <c r="D65" i="5" s="1"/>
  <c r="E65" i="5" s="1"/>
  <c r="G65" i="5"/>
  <c r="F65" i="5"/>
  <c r="B65" i="5"/>
  <c r="K64" i="5"/>
  <c r="J64" i="5"/>
  <c r="I64" i="5"/>
  <c r="H64" i="5"/>
  <c r="G64" i="5"/>
  <c r="F64" i="5"/>
  <c r="C64" i="5" s="1"/>
  <c r="D64" i="5" s="1"/>
  <c r="E64" i="5" s="1"/>
  <c r="B64" i="5"/>
  <c r="K63" i="5"/>
  <c r="K68" i="5" s="1"/>
  <c r="J63" i="5"/>
  <c r="J68" i="5" s="1"/>
  <c r="I63" i="5"/>
  <c r="I68" i="5" s="1"/>
  <c r="H63" i="5"/>
  <c r="H68" i="5" s="1"/>
  <c r="G63" i="5"/>
  <c r="F63" i="5"/>
  <c r="C63" i="5" s="1"/>
  <c r="B63" i="5"/>
  <c r="K61" i="5"/>
  <c r="J61" i="5"/>
  <c r="I61" i="5"/>
  <c r="H61" i="5"/>
  <c r="G61" i="5"/>
  <c r="F61" i="5"/>
  <c r="C61" i="5"/>
  <c r="B61" i="5"/>
  <c r="D61" i="5" s="1"/>
  <c r="E61" i="5" s="1"/>
  <c r="K60" i="5"/>
  <c r="J60" i="5"/>
  <c r="I60" i="5"/>
  <c r="H60" i="5"/>
  <c r="G60" i="5"/>
  <c r="F60" i="5"/>
  <c r="C60" i="5"/>
  <c r="B60" i="5"/>
  <c r="D60" i="5" s="1"/>
  <c r="E60" i="5" s="1"/>
  <c r="K59" i="5"/>
  <c r="J59" i="5"/>
  <c r="C59" i="5" s="1"/>
  <c r="I59" i="5"/>
  <c r="H59" i="5"/>
  <c r="G59" i="5"/>
  <c r="F59" i="5"/>
  <c r="B59" i="5"/>
  <c r="D59" i="5" s="1"/>
  <c r="E59" i="5" s="1"/>
  <c r="K58" i="5"/>
  <c r="J58" i="5"/>
  <c r="I58" i="5"/>
  <c r="H58" i="5"/>
  <c r="C58" i="5" s="1"/>
  <c r="G58" i="5"/>
  <c r="F58" i="5"/>
  <c r="B58" i="5"/>
  <c r="D58" i="5" s="1"/>
  <c r="E58" i="5" s="1"/>
  <c r="K57" i="5"/>
  <c r="J57" i="5"/>
  <c r="I57" i="5"/>
  <c r="H57" i="5"/>
  <c r="G57" i="5"/>
  <c r="F57" i="5"/>
  <c r="C57" i="5" s="1"/>
  <c r="B57" i="5"/>
  <c r="K56" i="5"/>
  <c r="J56" i="5"/>
  <c r="I56" i="5"/>
  <c r="H56" i="5"/>
  <c r="G56" i="5"/>
  <c r="F56" i="5"/>
  <c r="C56" i="5" s="1"/>
  <c r="D56" i="5" s="1"/>
  <c r="E56" i="5" s="1"/>
  <c r="B56" i="5"/>
  <c r="K55" i="5"/>
  <c r="J55" i="5"/>
  <c r="I55" i="5"/>
  <c r="H55" i="5"/>
  <c r="G55" i="5"/>
  <c r="F55" i="5"/>
  <c r="C55" i="5"/>
  <c r="B55" i="5"/>
  <c r="D55" i="5" s="1"/>
  <c r="E55" i="5" s="1"/>
  <c r="K54" i="5"/>
  <c r="J54" i="5"/>
  <c r="I54" i="5"/>
  <c r="H54" i="5"/>
  <c r="G54" i="5"/>
  <c r="F54" i="5"/>
  <c r="C54" i="5"/>
  <c r="B54" i="5"/>
  <c r="D54" i="5" s="1"/>
  <c r="E54" i="5" s="1"/>
  <c r="K53" i="5"/>
  <c r="J53" i="5"/>
  <c r="C53" i="5" s="1"/>
  <c r="I53" i="5"/>
  <c r="H53" i="5"/>
  <c r="G53" i="5"/>
  <c r="F53" i="5"/>
  <c r="B53" i="5"/>
  <c r="D53" i="5" s="1"/>
  <c r="E53" i="5" s="1"/>
  <c r="K52" i="5"/>
  <c r="J52" i="5"/>
  <c r="I52" i="5"/>
  <c r="H52" i="5"/>
  <c r="C52" i="5" s="1"/>
  <c r="G52" i="5"/>
  <c r="F52" i="5"/>
  <c r="B52" i="5"/>
  <c r="K51" i="5"/>
  <c r="J51" i="5"/>
  <c r="I51" i="5"/>
  <c r="H51" i="5"/>
  <c r="G51" i="5"/>
  <c r="F51" i="5"/>
  <c r="C51" i="5" s="1"/>
  <c r="B51" i="5"/>
  <c r="D51" i="5" s="1"/>
  <c r="E51" i="5" s="1"/>
  <c r="K50" i="5"/>
  <c r="J50" i="5"/>
  <c r="I50" i="5"/>
  <c r="H50" i="5"/>
  <c r="G50" i="5"/>
  <c r="F50" i="5"/>
  <c r="C50" i="5" s="1"/>
  <c r="D50" i="5" s="1"/>
  <c r="E50" i="5" s="1"/>
  <c r="B50" i="5"/>
  <c r="K49" i="5"/>
  <c r="J49" i="5"/>
  <c r="I49" i="5"/>
  <c r="H49" i="5"/>
  <c r="G49" i="5"/>
  <c r="F49" i="5"/>
  <c r="C49" i="5"/>
  <c r="B49" i="5"/>
  <c r="D49" i="5" s="1"/>
  <c r="E49" i="5" s="1"/>
  <c r="K48" i="5"/>
  <c r="J48" i="5"/>
  <c r="I48" i="5"/>
  <c r="H48" i="5"/>
  <c r="G48" i="5"/>
  <c r="F48" i="5"/>
  <c r="C48" i="5"/>
  <c r="B48" i="5"/>
  <c r="D48" i="5" s="1"/>
  <c r="E48" i="5" s="1"/>
  <c r="K47" i="5"/>
  <c r="J47" i="5"/>
  <c r="C47" i="5" s="1"/>
  <c r="I47" i="5"/>
  <c r="H47" i="5"/>
  <c r="G47" i="5"/>
  <c r="F47" i="5"/>
  <c r="B47" i="5"/>
  <c r="K46" i="5"/>
  <c r="J46" i="5"/>
  <c r="I46" i="5"/>
  <c r="H46" i="5"/>
  <c r="G46" i="5"/>
  <c r="F46" i="5"/>
  <c r="B46" i="5"/>
  <c r="K45" i="5"/>
  <c r="K88" i="5" s="1"/>
  <c r="K99" i="5" s="1"/>
  <c r="J45" i="5"/>
  <c r="I45" i="5"/>
  <c r="H45" i="5"/>
  <c r="G45" i="5"/>
  <c r="F45" i="5"/>
  <c r="C45" i="5" s="1"/>
  <c r="B45" i="5"/>
  <c r="K42" i="5"/>
  <c r="J42" i="5"/>
  <c r="H42" i="5"/>
  <c r="G42" i="5"/>
  <c r="F42" i="5"/>
  <c r="B42" i="5"/>
  <c r="K41" i="5"/>
  <c r="J41" i="5"/>
  <c r="I41" i="5"/>
  <c r="H41" i="5"/>
  <c r="G41" i="5"/>
  <c r="F41" i="5"/>
  <c r="C41" i="5"/>
  <c r="D41" i="5" s="1"/>
  <c r="E41" i="5" s="1"/>
  <c r="B41" i="5"/>
  <c r="K40" i="5"/>
  <c r="J40" i="5"/>
  <c r="I40" i="5"/>
  <c r="H40" i="5"/>
  <c r="G40" i="5"/>
  <c r="F40" i="5"/>
  <c r="C40" i="5"/>
  <c r="D40" i="5" s="1"/>
  <c r="E40" i="5" s="1"/>
  <c r="B40" i="5"/>
  <c r="K39" i="5"/>
  <c r="J39" i="5"/>
  <c r="C39" i="5" s="1"/>
  <c r="D39" i="5" s="1"/>
  <c r="E39" i="5" s="1"/>
  <c r="I39" i="5"/>
  <c r="H39" i="5"/>
  <c r="G39" i="5"/>
  <c r="F39" i="5"/>
  <c r="B39" i="5"/>
  <c r="K38" i="5"/>
  <c r="J38" i="5"/>
  <c r="I38" i="5"/>
  <c r="I42" i="5" s="1"/>
  <c r="H38" i="5"/>
  <c r="C38" i="5" s="1"/>
  <c r="D38" i="5" s="1"/>
  <c r="E38" i="5" s="1"/>
  <c r="G38" i="5"/>
  <c r="F38" i="5"/>
  <c r="B38" i="5"/>
  <c r="K37" i="5"/>
  <c r="J37" i="5"/>
  <c r="I37" i="5"/>
  <c r="H37" i="5"/>
  <c r="G37" i="5"/>
  <c r="F37" i="5"/>
  <c r="C37" i="5" s="1"/>
  <c r="D37" i="5" s="1"/>
  <c r="E37" i="5" s="1"/>
  <c r="B37" i="5"/>
  <c r="K36" i="5"/>
  <c r="J36" i="5"/>
  <c r="I36" i="5"/>
  <c r="H36" i="5"/>
  <c r="G36" i="5"/>
  <c r="F36" i="5"/>
  <c r="C36" i="5" s="1"/>
  <c r="D36" i="5" s="1"/>
  <c r="E36" i="5" s="1"/>
  <c r="B36" i="5"/>
  <c r="K35" i="5"/>
  <c r="J35" i="5"/>
  <c r="I35" i="5"/>
  <c r="H35" i="5"/>
  <c r="G35" i="5"/>
  <c r="F35" i="5"/>
  <c r="C35" i="5"/>
  <c r="D35" i="5" s="1"/>
  <c r="E35" i="5" s="1"/>
  <c r="B35" i="5"/>
  <c r="K34" i="5"/>
  <c r="J34" i="5"/>
  <c r="I34" i="5"/>
  <c r="H34" i="5"/>
  <c r="G34" i="5"/>
  <c r="F34" i="5"/>
  <c r="C34" i="5"/>
  <c r="B34" i="5"/>
  <c r="K33" i="5"/>
  <c r="J33" i="5"/>
  <c r="I33" i="5"/>
  <c r="H33" i="5"/>
  <c r="G33" i="5"/>
  <c r="F33" i="5"/>
  <c r="B33" i="5"/>
  <c r="K32" i="5"/>
  <c r="J32" i="5"/>
  <c r="I32" i="5"/>
  <c r="H32" i="5"/>
  <c r="C32" i="5" s="1"/>
  <c r="D32" i="5" s="1"/>
  <c r="E32" i="5" s="1"/>
  <c r="G32" i="5"/>
  <c r="F32" i="5"/>
  <c r="B32" i="5"/>
  <c r="K31" i="5"/>
  <c r="J31" i="5"/>
  <c r="I31" i="5"/>
  <c r="H31" i="5"/>
  <c r="G31" i="5"/>
  <c r="F31" i="5"/>
  <c r="C31" i="5" s="1"/>
  <c r="D31" i="5" s="1"/>
  <c r="E31" i="5" s="1"/>
  <c r="B31" i="5"/>
  <c r="K30" i="5"/>
  <c r="J30" i="5"/>
  <c r="I30" i="5"/>
  <c r="H30" i="5"/>
  <c r="G30" i="5"/>
  <c r="F30" i="5"/>
  <c r="C30" i="5" s="1"/>
  <c r="B30" i="5"/>
  <c r="K29" i="5"/>
  <c r="J29" i="5"/>
  <c r="I29" i="5"/>
  <c r="H29" i="5"/>
  <c r="G29" i="5"/>
  <c r="F29" i="5"/>
  <c r="B29" i="5"/>
  <c r="K28" i="5"/>
  <c r="J28" i="5"/>
  <c r="I28" i="5"/>
  <c r="H28" i="5"/>
  <c r="G28" i="5"/>
  <c r="F28" i="5"/>
  <c r="C28" i="5"/>
  <c r="D28" i="5" s="1"/>
  <c r="E28" i="5" s="1"/>
  <c r="B28" i="5"/>
  <c r="K27" i="5"/>
  <c r="J27" i="5"/>
  <c r="C27" i="5" s="1"/>
  <c r="D27" i="5" s="1"/>
  <c r="E27" i="5" s="1"/>
  <c r="I27" i="5"/>
  <c r="H27" i="5"/>
  <c r="G27" i="5"/>
  <c r="F27" i="5"/>
  <c r="B27" i="5"/>
  <c r="K26" i="5"/>
  <c r="J26" i="5"/>
  <c r="I26" i="5"/>
  <c r="H26" i="5"/>
  <c r="C26" i="5" s="1"/>
  <c r="D26" i="5" s="1"/>
  <c r="E26" i="5" s="1"/>
  <c r="G26" i="5"/>
  <c r="F26" i="5"/>
  <c r="B26" i="5"/>
  <c r="K25" i="5"/>
  <c r="J25" i="5"/>
  <c r="I25" i="5"/>
  <c r="H25" i="5"/>
  <c r="G25" i="5"/>
  <c r="F25" i="5"/>
  <c r="C25" i="5" s="1"/>
  <c r="D25" i="5" s="1"/>
  <c r="E25" i="5" s="1"/>
  <c r="B25" i="5"/>
  <c r="K24" i="5"/>
  <c r="J24" i="5"/>
  <c r="I24" i="5"/>
  <c r="H24" i="5"/>
  <c r="G24" i="5"/>
  <c r="F24" i="5"/>
  <c r="C24" i="5" s="1"/>
  <c r="D24" i="5" s="1"/>
  <c r="E24" i="5" s="1"/>
  <c r="B24" i="5"/>
  <c r="K23" i="5"/>
  <c r="J23" i="5"/>
  <c r="I23" i="5"/>
  <c r="H23" i="5"/>
  <c r="G23" i="5"/>
  <c r="F23" i="5"/>
  <c r="C23" i="5"/>
  <c r="D23" i="5" s="1"/>
  <c r="E23" i="5" s="1"/>
  <c r="B23" i="5"/>
  <c r="K22" i="5"/>
  <c r="J22" i="5"/>
  <c r="I22" i="5"/>
  <c r="H22" i="5"/>
  <c r="G22" i="5"/>
  <c r="F22" i="5"/>
  <c r="C22" i="5"/>
  <c r="D22" i="5" s="1"/>
  <c r="E22" i="5" s="1"/>
  <c r="B22" i="5"/>
  <c r="K21" i="5"/>
  <c r="J21" i="5"/>
  <c r="C21" i="5" s="1"/>
  <c r="D21" i="5" s="1"/>
  <c r="E21" i="5" s="1"/>
  <c r="I21" i="5"/>
  <c r="H21" i="5"/>
  <c r="G21" i="5"/>
  <c r="F21" i="5"/>
  <c r="B21" i="5"/>
  <c r="K20" i="5"/>
  <c r="J20" i="5"/>
  <c r="I20" i="5"/>
  <c r="H20" i="5"/>
  <c r="C20" i="5" s="1"/>
  <c r="G20" i="5"/>
  <c r="F20" i="5"/>
  <c r="B20" i="5"/>
  <c r="K19" i="5"/>
  <c r="J19" i="5"/>
  <c r="I19" i="5"/>
  <c r="H19" i="5"/>
  <c r="G19" i="5"/>
  <c r="F19" i="5"/>
  <c r="B19" i="5"/>
  <c r="K18" i="5"/>
  <c r="J18" i="5"/>
  <c r="I18" i="5"/>
  <c r="H18" i="5"/>
  <c r="G18" i="5"/>
  <c r="F18" i="5"/>
  <c r="C18" i="5" s="1"/>
  <c r="D18" i="5" s="1"/>
  <c r="E18" i="5" s="1"/>
  <c r="B18" i="5"/>
  <c r="K17" i="5"/>
  <c r="J17" i="5"/>
  <c r="I17" i="5"/>
  <c r="H17" i="5"/>
  <c r="G17" i="5"/>
  <c r="F17" i="5"/>
  <c r="C17" i="5"/>
  <c r="B17" i="5"/>
  <c r="K16" i="5"/>
  <c r="J16" i="5"/>
  <c r="I16" i="5"/>
  <c r="H16" i="5"/>
  <c r="G16" i="5"/>
  <c r="F16" i="5"/>
  <c r="B16" i="5"/>
  <c r="B13" i="5"/>
  <c r="B9" i="5"/>
  <c r="C68" i="5" l="1"/>
  <c r="D68" i="5" s="1"/>
  <c r="E68" i="5" s="1"/>
  <c r="D63" i="5"/>
  <c r="E63" i="5" s="1"/>
  <c r="C33" i="5"/>
  <c r="D33" i="5" s="1"/>
  <c r="E33" i="5" s="1"/>
  <c r="D46" i="5"/>
  <c r="E46" i="5" s="1"/>
  <c r="C98" i="5"/>
  <c r="D98" i="5" s="1"/>
  <c r="E98" i="5" s="1"/>
  <c r="D91" i="5"/>
  <c r="E91" i="5" s="1"/>
  <c r="G101" i="6"/>
  <c r="D84" i="5"/>
  <c r="E84" i="5" s="1"/>
  <c r="C87" i="5"/>
  <c r="D87" i="5" s="1"/>
  <c r="E87" i="5" s="1"/>
  <c r="D45" i="5"/>
  <c r="E45" i="5" s="1"/>
  <c r="D47" i="5"/>
  <c r="E47" i="5" s="1"/>
  <c r="H88" i="5"/>
  <c r="D52" i="5"/>
  <c r="E52" i="5" s="1"/>
  <c r="C70" i="5"/>
  <c r="D71" i="5"/>
  <c r="E71" i="5" s="1"/>
  <c r="C19" i="5"/>
  <c r="D19" i="5" s="1"/>
  <c r="E19" i="5" s="1"/>
  <c r="D20" i="5"/>
  <c r="E20" i="5" s="1"/>
  <c r="I88" i="5"/>
  <c r="I99" i="5" s="1"/>
  <c r="D57" i="5"/>
  <c r="E57" i="5" s="1"/>
  <c r="C46" i="5"/>
  <c r="H99" i="5"/>
  <c r="G88" i="5"/>
  <c r="G99" i="5" s="1"/>
  <c r="C29" i="5"/>
  <c r="D29" i="5" s="1"/>
  <c r="E29" i="5" s="1"/>
  <c r="D30" i="5"/>
  <c r="E30" i="5" s="1"/>
  <c r="J88" i="5"/>
  <c r="J99" i="5" s="1"/>
  <c r="B88" i="5"/>
  <c r="B99" i="5" s="1"/>
  <c r="B101" i="5" s="1"/>
  <c r="D17" i="5"/>
  <c r="E17" i="5" s="1"/>
  <c r="G100" i="6"/>
  <c r="F103" i="6"/>
  <c r="C16" i="6"/>
  <c r="D34" i="5"/>
  <c r="E34" i="5" s="1"/>
  <c r="F68" i="5"/>
  <c r="F88" i="5"/>
  <c r="F99" i="5" s="1"/>
  <c r="F101" i="5" s="1"/>
  <c r="C88" i="6"/>
  <c r="D88" i="6" s="1"/>
  <c r="E88" i="6" s="1"/>
  <c r="F87" i="5"/>
  <c r="D19" i="7"/>
  <c r="E19" i="7" s="1"/>
  <c r="C82" i="6"/>
  <c r="D82" i="6" s="1"/>
  <c r="E82" i="6" s="1"/>
  <c r="D70" i="6"/>
  <c r="E70" i="6" s="1"/>
  <c r="D16" i="8"/>
  <c r="E16" i="8" s="1"/>
  <c r="D88" i="7"/>
  <c r="E88" i="7" s="1"/>
  <c r="K102" i="4"/>
  <c r="J102" i="4"/>
  <c r="I102" i="4"/>
  <c r="H102" i="4"/>
  <c r="G102" i="4"/>
  <c r="F102" i="4"/>
  <c r="F100" i="4"/>
  <c r="C100" i="4"/>
  <c r="B100" i="4"/>
  <c r="F98" i="4"/>
  <c r="B98" i="4"/>
  <c r="K97" i="4"/>
  <c r="C97" i="4" s="1"/>
  <c r="D97" i="4" s="1"/>
  <c r="E97" i="4" s="1"/>
  <c r="J97" i="4"/>
  <c r="I97" i="4"/>
  <c r="H97" i="4"/>
  <c r="G97" i="4"/>
  <c r="F97" i="4"/>
  <c r="B97" i="4"/>
  <c r="K96" i="4"/>
  <c r="J96" i="4"/>
  <c r="I96" i="4"/>
  <c r="H96" i="4"/>
  <c r="G96" i="4"/>
  <c r="F96" i="4"/>
  <c r="C96" i="4" s="1"/>
  <c r="D96" i="4" s="1"/>
  <c r="E96" i="4" s="1"/>
  <c r="B96" i="4"/>
  <c r="K95" i="4"/>
  <c r="J95" i="4"/>
  <c r="I95" i="4"/>
  <c r="H95" i="4"/>
  <c r="G95" i="4"/>
  <c r="C95" i="4" s="1"/>
  <c r="D95" i="4" s="1"/>
  <c r="E95" i="4" s="1"/>
  <c r="F95" i="4"/>
  <c r="B95" i="4"/>
  <c r="K94" i="4"/>
  <c r="J94" i="4"/>
  <c r="I94" i="4"/>
  <c r="H94" i="4"/>
  <c r="G94" i="4"/>
  <c r="F94" i="4"/>
  <c r="B94" i="4"/>
  <c r="K93" i="4"/>
  <c r="J93" i="4"/>
  <c r="I93" i="4"/>
  <c r="H93" i="4"/>
  <c r="G93" i="4"/>
  <c r="F93" i="4"/>
  <c r="D93" i="4"/>
  <c r="E93" i="4" s="1"/>
  <c r="C93" i="4"/>
  <c r="B93" i="4"/>
  <c r="K92" i="4"/>
  <c r="J92" i="4"/>
  <c r="I92" i="4"/>
  <c r="H92" i="4"/>
  <c r="H98" i="4" s="1"/>
  <c r="G92" i="4"/>
  <c r="F92" i="4"/>
  <c r="C92" i="4"/>
  <c r="B92" i="4"/>
  <c r="K91" i="4"/>
  <c r="J91" i="4"/>
  <c r="I91" i="4"/>
  <c r="H91" i="4"/>
  <c r="G91" i="4"/>
  <c r="F91" i="4"/>
  <c r="B91" i="4"/>
  <c r="K87" i="4"/>
  <c r="J87" i="4"/>
  <c r="I87" i="4"/>
  <c r="H87" i="4"/>
  <c r="K86" i="4"/>
  <c r="J86" i="4"/>
  <c r="I86" i="4"/>
  <c r="H86" i="4"/>
  <c r="G86" i="4"/>
  <c r="G87" i="4" s="1"/>
  <c r="F86" i="4"/>
  <c r="C86" i="4" s="1"/>
  <c r="D86" i="4" s="1"/>
  <c r="E86" i="4"/>
  <c r="B86" i="4"/>
  <c r="K85" i="4"/>
  <c r="J85" i="4"/>
  <c r="I85" i="4"/>
  <c r="H85" i="4"/>
  <c r="G85" i="4"/>
  <c r="F85" i="4"/>
  <c r="C85" i="4"/>
  <c r="D85" i="4" s="1"/>
  <c r="E85" i="4" s="1"/>
  <c r="B85" i="4"/>
  <c r="K84" i="4"/>
  <c r="J84" i="4"/>
  <c r="I84" i="4"/>
  <c r="H84" i="4"/>
  <c r="G84" i="4"/>
  <c r="F84" i="4"/>
  <c r="C84" i="4"/>
  <c r="B84" i="4"/>
  <c r="B87" i="4" s="1"/>
  <c r="K81" i="4"/>
  <c r="J81" i="4"/>
  <c r="I81" i="4"/>
  <c r="H81" i="4"/>
  <c r="G81" i="4"/>
  <c r="F81" i="4"/>
  <c r="C81" i="4" s="1"/>
  <c r="D81" i="4" s="1"/>
  <c r="E81" i="4" s="1"/>
  <c r="B81" i="4"/>
  <c r="K80" i="4"/>
  <c r="J80" i="4"/>
  <c r="I80" i="4"/>
  <c r="H80" i="4"/>
  <c r="G80" i="4"/>
  <c r="C80" i="4" s="1"/>
  <c r="D80" i="4" s="1"/>
  <c r="E80" i="4" s="1"/>
  <c r="F80" i="4"/>
  <c r="B80" i="4"/>
  <c r="K79" i="4"/>
  <c r="J79" i="4"/>
  <c r="I79" i="4"/>
  <c r="H79" i="4"/>
  <c r="G79" i="4"/>
  <c r="F79" i="4"/>
  <c r="C79" i="4" s="1"/>
  <c r="D79" i="4" s="1"/>
  <c r="E79" i="4" s="1"/>
  <c r="B79" i="4"/>
  <c r="K78" i="4"/>
  <c r="J78" i="4"/>
  <c r="I78" i="4"/>
  <c r="H78" i="4"/>
  <c r="G78" i="4"/>
  <c r="F78" i="4"/>
  <c r="C78" i="4"/>
  <c r="D78" i="4" s="1"/>
  <c r="E78" i="4" s="1"/>
  <c r="B78" i="4"/>
  <c r="K77" i="4"/>
  <c r="J77" i="4"/>
  <c r="I77" i="4"/>
  <c r="H77" i="4"/>
  <c r="G77" i="4"/>
  <c r="F77" i="4"/>
  <c r="C77" i="4"/>
  <c r="B77" i="4"/>
  <c r="K76" i="4"/>
  <c r="C76" i="4" s="1"/>
  <c r="D76" i="4" s="1"/>
  <c r="E76" i="4" s="1"/>
  <c r="J76" i="4"/>
  <c r="I76" i="4"/>
  <c r="H76" i="4"/>
  <c r="G76" i="4"/>
  <c r="F76" i="4"/>
  <c r="B76" i="4"/>
  <c r="K75" i="4"/>
  <c r="J75" i="4"/>
  <c r="I75" i="4"/>
  <c r="H75" i="4"/>
  <c r="G75" i="4"/>
  <c r="F75" i="4"/>
  <c r="C75" i="4" s="1"/>
  <c r="D75" i="4" s="1"/>
  <c r="E75" i="4" s="1"/>
  <c r="B75" i="4"/>
  <c r="K74" i="4"/>
  <c r="J74" i="4"/>
  <c r="I74" i="4"/>
  <c r="H74" i="4"/>
  <c r="G74" i="4"/>
  <c r="C74" i="4" s="1"/>
  <c r="D74" i="4" s="1"/>
  <c r="E74" i="4" s="1"/>
  <c r="F74" i="4"/>
  <c r="B74" i="4"/>
  <c r="K73" i="4"/>
  <c r="J73" i="4"/>
  <c r="I73" i="4"/>
  <c r="H73" i="4"/>
  <c r="G73" i="4"/>
  <c r="F73" i="4"/>
  <c r="C73" i="4" s="1"/>
  <c r="D73" i="4" s="1"/>
  <c r="E73" i="4"/>
  <c r="B73" i="4"/>
  <c r="K72" i="4"/>
  <c r="J72" i="4"/>
  <c r="I72" i="4"/>
  <c r="H72" i="4"/>
  <c r="G72" i="4"/>
  <c r="F72" i="4"/>
  <c r="C72" i="4"/>
  <c r="D72" i="4" s="1"/>
  <c r="E72" i="4" s="1"/>
  <c r="B72" i="4"/>
  <c r="K71" i="4"/>
  <c r="J71" i="4"/>
  <c r="I71" i="4"/>
  <c r="H71" i="4"/>
  <c r="G71" i="4"/>
  <c r="F71" i="4"/>
  <c r="C71" i="4"/>
  <c r="B71" i="4"/>
  <c r="K70" i="4"/>
  <c r="K82" i="4" s="1"/>
  <c r="J70" i="4"/>
  <c r="J82" i="4" s="1"/>
  <c r="J88" i="4" s="1"/>
  <c r="I70" i="4"/>
  <c r="I82" i="4" s="1"/>
  <c r="H70" i="4"/>
  <c r="H82" i="4" s="1"/>
  <c r="G70" i="4"/>
  <c r="G82" i="4" s="1"/>
  <c r="F70" i="4"/>
  <c r="B70" i="4"/>
  <c r="J68" i="4"/>
  <c r="G68" i="4"/>
  <c r="K67" i="4"/>
  <c r="J67" i="4"/>
  <c r="I67" i="4"/>
  <c r="I68" i="4" s="1"/>
  <c r="I88" i="4" s="1"/>
  <c r="H67" i="4"/>
  <c r="G67" i="4"/>
  <c r="C67" i="4" s="1"/>
  <c r="D67" i="4" s="1"/>
  <c r="E67" i="4" s="1"/>
  <c r="F67" i="4"/>
  <c r="B67" i="4"/>
  <c r="K66" i="4"/>
  <c r="J66" i="4"/>
  <c r="I66" i="4"/>
  <c r="H66" i="4"/>
  <c r="G66" i="4"/>
  <c r="F66" i="4"/>
  <c r="C66" i="4" s="1"/>
  <c r="D66" i="4" s="1"/>
  <c r="E66" i="4"/>
  <c r="B66" i="4"/>
  <c r="K65" i="4"/>
  <c r="J65" i="4"/>
  <c r="I65" i="4"/>
  <c r="H65" i="4"/>
  <c r="G65" i="4"/>
  <c r="F65" i="4"/>
  <c r="C65" i="4"/>
  <c r="D65" i="4" s="1"/>
  <c r="E65" i="4" s="1"/>
  <c r="B65" i="4"/>
  <c r="K64" i="4"/>
  <c r="J64" i="4"/>
  <c r="I64" i="4"/>
  <c r="H64" i="4"/>
  <c r="G64" i="4"/>
  <c r="F64" i="4"/>
  <c r="C64" i="4"/>
  <c r="B64" i="4"/>
  <c r="K63" i="4"/>
  <c r="C63" i="4" s="1"/>
  <c r="J63" i="4"/>
  <c r="I63" i="4"/>
  <c r="H63" i="4"/>
  <c r="G63" i="4"/>
  <c r="F63" i="4"/>
  <c r="F68" i="4" s="1"/>
  <c r="B63" i="4"/>
  <c r="B68" i="4" s="1"/>
  <c r="K61" i="4"/>
  <c r="J61" i="4"/>
  <c r="I61" i="4"/>
  <c r="H61" i="4"/>
  <c r="G61" i="4"/>
  <c r="F61" i="4"/>
  <c r="B61" i="4"/>
  <c r="K60" i="4"/>
  <c r="J60" i="4"/>
  <c r="I60" i="4"/>
  <c r="H60" i="4"/>
  <c r="G60" i="4"/>
  <c r="C60" i="4" s="1"/>
  <c r="F60" i="4"/>
  <c r="B60" i="4"/>
  <c r="D60" i="4" s="1"/>
  <c r="E60" i="4" s="1"/>
  <c r="K59" i="4"/>
  <c r="J59" i="4"/>
  <c r="I59" i="4"/>
  <c r="H59" i="4"/>
  <c r="G59" i="4"/>
  <c r="F59" i="4"/>
  <c r="C59" i="4" s="1"/>
  <c r="B59" i="4"/>
  <c r="D59" i="4" s="1"/>
  <c r="E59" i="4" s="1"/>
  <c r="K58" i="4"/>
  <c r="J58" i="4"/>
  <c r="I58" i="4"/>
  <c r="H58" i="4"/>
  <c r="G58" i="4"/>
  <c r="F58" i="4"/>
  <c r="C58" i="4"/>
  <c r="D58" i="4" s="1"/>
  <c r="E58" i="4" s="1"/>
  <c r="B58" i="4"/>
  <c r="K57" i="4"/>
  <c r="J57" i="4"/>
  <c r="I57" i="4"/>
  <c r="H57" i="4"/>
  <c r="G57" i="4"/>
  <c r="F57" i="4"/>
  <c r="C57" i="4"/>
  <c r="B57" i="4"/>
  <c r="K56" i="4"/>
  <c r="C56" i="4" s="1"/>
  <c r="J56" i="4"/>
  <c r="I56" i="4"/>
  <c r="H56" i="4"/>
  <c r="G56" i="4"/>
  <c r="F56" i="4"/>
  <c r="B56" i="4"/>
  <c r="D56" i="4" s="1"/>
  <c r="E56" i="4" s="1"/>
  <c r="K55" i="4"/>
  <c r="J55" i="4"/>
  <c r="I55" i="4"/>
  <c r="H55" i="4"/>
  <c r="G55" i="4"/>
  <c r="F55" i="4"/>
  <c r="B55" i="4"/>
  <c r="K54" i="4"/>
  <c r="J54" i="4"/>
  <c r="I54" i="4"/>
  <c r="H54" i="4"/>
  <c r="G54" i="4"/>
  <c r="C54" i="4" s="1"/>
  <c r="F54" i="4"/>
  <c r="B54" i="4"/>
  <c r="D54" i="4" s="1"/>
  <c r="E54" i="4" s="1"/>
  <c r="K53" i="4"/>
  <c r="J53" i="4"/>
  <c r="I53" i="4"/>
  <c r="H53" i="4"/>
  <c r="G53" i="4"/>
  <c r="F53" i="4"/>
  <c r="C53" i="4" s="1"/>
  <c r="B53" i="4"/>
  <c r="D53" i="4" s="1"/>
  <c r="E53" i="4" s="1"/>
  <c r="K52" i="4"/>
  <c r="J52" i="4"/>
  <c r="I52" i="4"/>
  <c r="H52" i="4"/>
  <c r="G52" i="4"/>
  <c r="F52" i="4"/>
  <c r="C52" i="4"/>
  <c r="D52" i="4" s="1"/>
  <c r="E52" i="4" s="1"/>
  <c r="B52" i="4"/>
  <c r="K51" i="4"/>
  <c r="J51" i="4"/>
  <c r="I51" i="4"/>
  <c r="H51" i="4"/>
  <c r="G51" i="4"/>
  <c r="F51" i="4"/>
  <c r="C51" i="4"/>
  <c r="B51" i="4"/>
  <c r="K50" i="4"/>
  <c r="C50" i="4" s="1"/>
  <c r="J50" i="4"/>
  <c r="I50" i="4"/>
  <c r="H50" i="4"/>
  <c r="G50" i="4"/>
  <c r="F50" i="4"/>
  <c r="B50" i="4"/>
  <c r="D50" i="4" s="1"/>
  <c r="E50" i="4" s="1"/>
  <c r="K49" i="4"/>
  <c r="J49" i="4"/>
  <c r="I49" i="4"/>
  <c r="H49" i="4"/>
  <c r="G49" i="4"/>
  <c r="F49" i="4"/>
  <c r="B49" i="4"/>
  <c r="K48" i="4"/>
  <c r="J48" i="4"/>
  <c r="I48" i="4"/>
  <c r="H48" i="4"/>
  <c r="G48" i="4"/>
  <c r="C48" i="4" s="1"/>
  <c r="F48" i="4"/>
  <c r="B48" i="4"/>
  <c r="D48" i="4" s="1"/>
  <c r="E48" i="4" s="1"/>
  <c r="K47" i="4"/>
  <c r="J47" i="4"/>
  <c r="I47" i="4"/>
  <c r="H47" i="4"/>
  <c r="G47" i="4"/>
  <c r="F47" i="4"/>
  <c r="C47" i="4" s="1"/>
  <c r="B47" i="4"/>
  <c r="D47" i="4" s="1"/>
  <c r="E47" i="4" s="1"/>
  <c r="K46" i="4"/>
  <c r="J46" i="4"/>
  <c r="I46" i="4"/>
  <c r="H46" i="4"/>
  <c r="G46" i="4"/>
  <c r="F46" i="4"/>
  <c r="B46" i="4"/>
  <c r="K45" i="4"/>
  <c r="J45" i="4"/>
  <c r="I45" i="4"/>
  <c r="H45" i="4"/>
  <c r="G45" i="4"/>
  <c r="F45" i="4"/>
  <c r="C45" i="4"/>
  <c r="B45" i="4"/>
  <c r="K42" i="4"/>
  <c r="J42" i="4"/>
  <c r="H42" i="4"/>
  <c r="G42" i="4"/>
  <c r="F42" i="4"/>
  <c r="B42" i="4"/>
  <c r="K41" i="4"/>
  <c r="J41" i="4"/>
  <c r="I41" i="4"/>
  <c r="H41" i="4"/>
  <c r="G41" i="4"/>
  <c r="F41" i="4"/>
  <c r="C41" i="4" s="1"/>
  <c r="D41" i="4" s="1"/>
  <c r="E41" i="4" s="1"/>
  <c r="B41" i="4"/>
  <c r="K40" i="4"/>
  <c r="J40" i="4"/>
  <c r="I40" i="4"/>
  <c r="H40" i="4"/>
  <c r="G40" i="4"/>
  <c r="C40" i="4" s="1"/>
  <c r="D40" i="4" s="1"/>
  <c r="E40" i="4" s="1"/>
  <c r="F40" i="4"/>
  <c r="B40" i="4"/>
  <c r="K39" i="4"/>
  <c r="J39" i="4"/>
  <c r="I39" i="4"/>
  <c r="H39" i="4"/>
  <c r="G39" i="4"/>
  <c r="F39" i="4"/>
  <c r="B39" i="4"/>
  <c r="K38" i="4"/>
  <c r="J38" i="4"/>
  <c r="I38" i="4"/>
  <c r="H38" i="4"/>
  <c r="G38" i="4"/>
  <c r="F38" i="4"/>
  <c r="D38" i="4"/>
  <c r="E38" i="4" s="1"/>
  <c r="C38" i="4"/>
  <c r="B38" i="4"/>
  <c r="K37" i="4"/>
  <c r="J37" i="4"/>
  <c r="I37" i="4"/>
  <c r="H37" i="4"/>
  <c r="G37" i="4"/>
  <c r="F37" i="4"/>
  <c r="C37" i="4"/>
  <c r="B37" i="4"/>
  <c r="K36" i="4"/>
  <c r="C36" i="4" s="1"/>
  <c r="D36" i="4" s="1"/>
  <c r="E36" i="4" s="1"/>
  <c r="J36" i="4"/>
  <c r="I36" i="4"/>
  <c r="H36" i="4"/>
  <c r="G36" i="4"/>
  <c r="F36" i="4"/>
  <c r="B36" i="4"/>
  <c r="K35" i="4"/>
  <c r="J35" i="4"/>
  <c r="I35" i="4"/>
  <c r="H35" i="4"/>
  <c r="G35" i="4"/>
  <c r="F35" i="4"/>
  <c r="C35" i="4" s="1"/>
  <c r="D35" i="4" s="1"/>
  <c r="E35" i="4" s="1"/>
  <c r="B35" i="4"/>
  <c r="K34" i="4"/>
  <c r="J34" i="4"/>
  <c r="I34" i="4"/>
  <c r="H34" i="4"/>
  <c r="G34" i="4"/>
  <c r="C34" i="4" s="1"/>
  <c r="F34" i="4"/>
  <c r="B34" i="4"/>
  <c r="K33" i="4"/>
  <c r="J33" i="4"/>
  <c r="I33" i="4"/>
  <c r="H33" i="4"/>
  <c r="G33" i="4"/>
  <c r="F33" i="4"/>
  <c r="B33" i="4"/>
  <c r="K32" i="4"/>
  <c r="J32" i="4"/>
  <c r="I32" i="4"/>
  <c r="H32" i="4"/>
  <c r="G32" i="4"/>
  <c r="F32" i="4"/>
  <c r="C32" i="4"/>
  <c r="D32" i="4" s="1"/>
  <c r="E32" i="4" s="1"/>
  <c r="B32" i="4"/>
  <c r="K31" i="4"/>
  <c r="J31" i="4"/>
  <c r="I31" i="4"/>
  <c r="H31" i="4"/>
  <c r="G31" i="4"/>
  <c r="F31" i="4"/>
  <c r="C31" i="4"/>
  <c r="B31" i="4"/>
  <c r="K30" i="4"/>
  <c r="C30" i="4" s="1"/>
  <c r="J30" i="4"/>
  <c r="I30" i="4"/>
  <c r="H30" i="4"/>
  <c r="G30" i="4"/>
  <c r="F30" i="4"/>
  <c r="B30" i="4"/>
  <c r="K29" i="4"/>
  <c r="J29" i="4"/>
  <c r="I29" i="4"/>
  <c r="H29" i="4"/>
  <c r="G29" i="4"/>
  <c r="F29" i="4"/>
  <c r="B29" i="4"/>
  <c r="K28" i="4"/>
  <c r="J28" i="4"/>
  <c r="I28" i="4"/>
  <c r="H28" i="4"/>
  <c r="G28" i="4"/>
  <c r="C28" i="4" s="1"/>
  <c r="D28" i="4" s="1"/>
  <c r="E28" i="4" s="1"/>
  <c r="F28" i="4"/>
  <c r="B28" i="4"/>
  <c r="K27" i="4"/>
  <c r="J27" i="4"/>
  <c r="I27" i="4"/>
  <c r="H27" i="4"/>
  <c r="G27" i="4"/>
  <c r="F27" i="4"/>
  <c r="C27" i="4" s="1"/>
  <c r="D27" i="4" s="1"/>
  <c r="E27" i="4" s="1"/>
  <c r="B27" i="4"/>
  <c r="K26" i="4"/>
  <c r="J26" i="4"/>
  <c r="I26" i="4"/>
  <c r="H26" i="4"/>
  <c r="G26" i="4"/>
  <c r="F26" i="4"/>
  <c r="C26" i="4"/>
  <c r="D26" i="4" s="1"/>
  <c r="E26" i="4" s="1"/>
  <c r="B26" i="4"/>
  <c r="K25" i="4"/>
  <c r="J25" i="4"/>
  <c r="I25" i="4"/>
  <c r="H25" i="4"/>
  <c r="G25" i="4"/>
  <c r="F25" i="4"/>
  <c r="C25" i="4"/>
  <c r="B25" i="4"/>
  <c r="K24" i="4"/>
  <c r="C24" i="4" s="1"/>
  <c r="D24" i="4" s="1"/>
  <c r="E24" i="4" s="1"/>
  <c r="J24" i="4"/>
  <c r="I24" i="4"/>
  <c r="H24" i="4"/>
  <c r="G24" i="4"/>
  <c r="F24" i="4"/>
  <c r="B24" i="4"/>
  <c r="K23" i="4"/>
  <c r="J23" i="4"/>
  <c r="I23" i="4"/>
  <c r="H23" i="4"/>
  <c r="G23" i="4"/>
  <c r="F23" i="4"/>
  <c r="C23" i="4" s="1"/>
  <c r="D23" i="4" s="1"/>
  <c r="E23" i="4" s="1"/>
  <c r="B23" i="4"/>
  <c r="K22" i="4"/>
  <c r="J22" i="4"/>
  <c r="I22" i="4"/>
  <c r="H22" i="4"/>
  <c r="G22" i="4"/>
  <c r="F22" i="4"/>
  <c r="B22" i="4"/>
  <c r="K21" i="4"/>
  <c r="J21" i="4"/>
  <c r="I21" i="4"/>
  <c r="H21" i="4"/>
  <c r="G21" i="4"/>
  <c r="F21" i="4"/>
  <c r="C21" i="4" s="1"/>
  <c r="D21" i="4" s="1"/>
  <c r="E21" i="4"/>
  <c r="B21" i="4"/>
  <c r="K20" i="4"/>
  <c r="J20" i="4"/>
  <c r="I20" i="4"/>
  <c r="H20" i="4"/>
  <c r="G20" i="4"/>
  <c r="F20" i="4"/>
  <c r="C20" i="4"/>
  <c r="B20" i="4"/>
  <c r="K19" i="4"/>
  <c r="J19" i="4"/>
  <c r="I19" i="4"/>
  <c r="H19" i="4"/>
  <c r="G19" i="4"/>
  <c r="F19" i="4"/>
  <c r="B19" i="4"/>
  <c r="K18" i="4"/>
  <c r="C18" i="4" s="1"/>
  <c r="D18" i="4" s="1"/>
  <c r="E18" i="4" s="1"/>
  <c r="J18" i="4"/>
  <c r="I18" i="4"/>
  <c r="H18" i="4"/>
  <c r="G18" i="4"/>
  <c r="F18" i="4"/>
  <c r="B18" i="4"/>
  <c r="K17" i="4"/>
  <c r="J17" i="4"/>
  <c r="I17" i="4"/>
  <c r="H17" i="4"/>
  <c r="G17" i="4"/>
  <c r="F17" i="4"/>
  <c r="C17" i="4" s="1"/>
  <c r="B17" i="4"/>
  <c r="K16" i="4"/>
  <c r="J16" i="4"/>
  <c r="I16" i="4"/>
  <c r="I42" i="4" s="1"/>
  <c r="H16" i="4"/>
  <c r="G16" i="4"/>
  <c r="F16" i="4"/>
  <c r="B16" i="4"/>
  <c r="B13" i="4"/>
  <c r="B9" i="4"/>
  <c r="I99" i="4" l="1"/>
  <c r="D45" i="4"/>
  <c r="E45" i="4" s="1"/>
  <c r="G88" i="4"/>
  <c r="G99" i="4" s="1"/>
  <c r="K98" i="4"/>
  <c r="K99" i="4" s="1"/>
  <c r="C91" i="4"/>
  <c r="C29" i="4"/>
  <c r="D29" i="4" s="1"/>
  <c r="E29" i="4" s="1"/>
  <c r="D30" i="4"/>
  <c r="E30" i="4" s="1"/>
  <c r="D20" i="4"/>
  <c r="E20" i="4" s="1"/>
  <c r="D37" i="4"/>
  <c r="E37" i="4" s="1"/>
  <c r="D92" i="4"/>
  <c r="E92" i="4" s="1"/>
  <c r="D31" i="4"/>
  <c r="E31" i="4" s="1"/>
  <c r="D25" i="4"/>
  <c r="E25" i="4" s="1"/>
  <c r="H68" i="4"/>
  <c r="H88" i="4" s="1"/>
  <c r="H99" i="4" s="1"/>
  <c r="D77" i="4"/>
  <c r="E77" i="4" s="1"/>
  <c r="C70" i="4"/>
  <c r="D71" i="4"/>
  <c r="E71" i="4" s="1"/>
  <c r="C33" i="4"/>
  <c r="D33" i="4" s="1"/>
  <c r="E33" i="4" s="1"/>
  <c r="D34" i="4"/>
  <c r="E34" i="4" s="1"/>
  <c r="I98" i="4"/>
  <c r="C61" i="4"/>
  <c r="D61" i="4" s="1"/>
  <c r="E61" i="4" s="1"/>
  <c r="C68" i="4"/>
  <c r="D68" i="4" s="1"/>
  <c r="E68" i="4" s="1"/>
  <c r="D63" i="4"/>
  <c r="E63" i="4" s="1"/>
  <c r="J98" i="4"/>
  <c r="J99" i="4" s="1"/>
  <c r="G100" i="5"/>
  <c r="G101" i="5" s="1"/>
  <c r="F103" i="5"/>
  <c r="C22" i="4"/>
  <c r="D22" i="4" s="1"/>
  <c r="E22" i="4" s="1"/>
  <c r="C55" i="4"/>
  <c r="D55" i="4" s="1"/>
  <c r="E55" i="4" s="1"/>
  <c r="K68" i="4"/>
  <c r="K88" i="4" s="1"/>
  <c r="G98" i="4"/>
  <c r="C39" i="4"/>
  <c r="D39" i="4" s="1"/>
  <c r="E39" i="4" s="1"/>
  <c r="C49" i="4"/>
  <c r="D49" i="4" s="1"/>
  <c r="E49" i="4" s="1"/>
  <c r="D57" i="4"/>
  <c r="E57" i="4" s="1"/>
  <c r="D64" i="4"/>
  <c r="E64" i="4" s="1"/>
  <c r="B82" i="4"/>
  <c r="B88" i="4" s="1"/>
  <c r="B99" i="4" s="1"/>
  <c r="B101" i="4" s="1"/>
  <c r="C87" i="4"/>
  <c r="D87" i="4" s="1"/>
  <c r="E87" i="4" s="1"/>
  <c r="D84" i="4"/>
  <c r="E84" i="4" s="1"/>
  <c r="C94" i="4"/>
  <c r="D94" i="4" s="1"/>
  <c r="E94" i="4" s="1"/>
  <c r="D17" i="4"/>
  <c r="E17" i="4" s="1"/>
  <c r="D51" i="4"/>
  <c r="E51" i="4" s="1"/>
  <c r="F82" i="4"/>
  <c r="F88" i="4" s="1"/>
  <c r="F99" i="4" s="1"/>
  <c r="F101" i="4" s="1"/>
  <c r="F87" i="4"/>
  <c r="C42" i="6"/>
  <c r="D16" i="6"/>
  <c r="E16" i="6" s="1"/>
  <c r="C82" i="5"/>
  <c r="D82" i="5" s="1"/>
  <c r="E82" i="5" s="1"/>
  <c r="D70" i="5"/>
  <c r="E70" i="5" s="1"/>
  <c r="H100" i="6"/>
  <c r="H101" i="6" s="1"/>
  <c r="G103" i="6"/>
  <c r="D42" i="8"/>
  <c r="E42" i="8" s="1"/>
  <c r="C16" i="5"/>
  <c r="D16" i="7"/>
  <c r="E16" i="7" s="1"/>
  <c r="K102" i="3"/>
  <c r="J102" i="3"/>
  <c r="I102" i="3"/>
  <c r="H102" i="3"/>
  <c r="G102" i="3"/>
  <c r="F102" i="3"/>
  <c r="F100" i="3"/>
  <c r="C100" i="3" s="1"/>
  <c r="B100" i="3"/>
  <c r="F98" i="3"/>
  <c r="K97" i="3"/>
  <c r="J97" i="3"/>
  <c r="I97" i="3"/>
  <c r="C97" i="3" s="1"/>
  <c r="D97" i="3" s="1"/>
  <c r="E97" i="3" s="1"/>
  <c r="H97" i="3"/>
  <c r="G97" i="3"/>
  <c r="F97" i="3"/>
  <c r="B97" i="3"/>
  <c r="K96" i="3"/>
  <c r="J96" i="3"/>
  <c r="I96" i="3"/>
  <c r="H96" i="3"/>
  <c r="G96" i="3"/>
  <c r="C96" i="3" s="1"/>
  <c r="D96" i="3" s="1"/>
  <c r="E96" i="3" s="1"/>
  <c r="F96" i="3"/>
  <c r="B96" i="3"/>
  <c r="K95" i="3"/>
  <c r="J95" i="3"/>
  <c r="I95" i="3"/>
  <c r="H95" i="3"/>
  <c r="G95" i="3"/>
  <c r="F95" i="3"/>
  <c r="C95" i="3" s="1"/>
  <c r="D95" i="3" s="1"/>
  <c r="E95" i="3" s="1"/>
  <c r="B95" i="3"/>
  <c r="K94" i="3"/>
  <c r="J94" i="3"/>
  <c r="I94" i="3"/>
  <c r="H94" i="3"/>
  <c r="G94" i="3"/>
  <c r="F94" i="3"/>
  <c r="C94" i="3"/>
  <c r="D94" i="3" s="1"/>
  <c r="E94" i="3" s="1"/>
  <c r="B94" i="3"/>
  <c r="K93" i="3"/>
  <c r="J93" i="3"/>
  <c r="I93" i="3"/>
  <c r="H93" i="3"/>
  <c r="G93" i="3"/>
  <c r="F93" i="3"/>
  <c r="C93" i="3"/>
  <c r="D93" i="3" s="1"/>
  <c r="E93" i="3" s="1"/>
  <c r="B93" i="3"/>
  <c r="K92" i="3"/>
  <c r="C92" i="3" s="1"/>
  <c r="D92" i="3" s="1"/>
  <c r="E92" i="3" s="1"/>
  <c r="J92" i="3"/>
  <c r="I92" i="3"/>
  <c r="H92" i="3"/>
  <c r="H98" i="3" s="1"/>
  <c r="G92" i="3"/>
  <c r="G98" i="3" s="1"/>
  <c r="F92" i="3"/>
  <c r="B92" i="3"/>
  <c r="B98" i="3" s="1"/>
  <c r="K91" i="3"/>
  <c r="J91" i="3"/>
  <c r="J98" i="3" s="1"/>
  <c r="I91" i="3"/>
  <c r="I98" i="3" s="1"/>
  <c r="H91" i="3"/>
  <c r="G91" i="3"/>
  <c r="F91" i="3"/>
  <c r="B91" i="3"/>
  <c r="J87" i="3"/>
  <c r="I87" i="3"/>
  <c r="H87" i="3"/>
  <c r="G87" i="3"/>
  <c r="F87" i="3"/>
  <c r="K86" i="3"/>
  <c r="J86" i="3"/>
  <c r="I86" i="3"/>
  <c r="H86" i="3"/>
  <c r="G86" i="3"/>
  <c r="F86" i="3"/>
  <c r="C86" i="3"/>
  <c r="D86" i="3" s="1"/>
  <c r="E86" i="3" s="1"/>
  <c r="B86" i="3"/>
  <c r="K85" i="3"/>
  <c r="J85" i="3"/>
  <c r="I85" i="3"/>
  <c r="H85" i="3"/>
  <c r="G85" i="3"/>
  <c r="F85" i="3"/>
  <c r="C85" i="3"/>
  <c r="D85" i="3" s="1"/>
  <c r="E85" i="3" s="1"/>
  <c r="B85" i="3"/>
  <c r="K84" i="3"/>
  <c r="K87" i="3" s="1"/>
  <c r="J84" i="3"/>
  <c r="I84" i="3"/>
  <c r="H84" i="3"/>
  <c r="G84" i="3"/>
  <c r="F84" i="3"/>
  <c r="B84" i="3"/>
  <c r="B87" i="3" s="1"/>
  <c r="K81" i="3"/>
  <c r="J81" i="3"/>
  <c r="I81" i="3"/>
  <c r="H81" i="3"/>
  <c r="G81" i="3"/>
  <c r="C81" i="3" s="1"/>
  <c r="D81" i="3" s="1"/>
  <c r="E81" i="3" s="1"/>
  <c r="F81" i="3"/>
  <c r="B81" i="3"/>
  <c r="K80" i="3"/>
  <c r="J80" i="3"/>
  <c r="I80" i="3"/>
  <c r="H80" i="3"/>
  <c r="G80" i="3"/>
  <c r="F80" i="3"/>
  <c r="C80" i="3" s="1"/>
  <c r="D80" i="3" s="1"/>
  <c r="E80" i="3" s="1"/>
  <c r="B80" i="3"/>
  <c r="K79" i="3"/>
  <c r="J79" i="3"/>
  <c r="I79" i="3"/>
  <c r="H79" i="3"/>
  <c r="G79" i="3"/>
  <c r="F79" i="3"/>
  <c r="C79" i="3"/>
  <c r="D79" i="3" s="1"/>
  <c r="E79" i="3" s="1"/>
  <c r="B79" i="3"/>
  <c r="K78" i="3"/>
  <c r="J78" i="3"/>
  <c r="I78" i="3"/>
  <c r="H78" i="3"/>
  <c r="G78" i="3"/>
  <c r="F78" i="3"/>
  <c r="C78" i="3"/>
  <c r="D78" i="3" s="1"/>
  <c r="E78" i="3" s="1"/>
  <c r="B78" i="3"/>
  <c r="K77" i="3"/>
  <c r="C77" i="3" s="1"/>
  <c r="D77" i="3" s="1"/>
  <c r="E77" i="3" s="1"/>
  <c r="J77" i="3"/>
  <c r="I77" i="3"/>
  <c r="H77" i="3"/>
  <c r="G77" i="3"/>
  <c r="F77" i="3"/>
  <c r="B77" i="3"/>
  <c r="K76" i="3"/>
  <c r="J76" i="3"/>
  <c r="I76" i="3"/>
  <c r="C76" i="3" s="1"/>
  <c r="D76" i="3" s="1"/>
  <c r="E76" i="3" s="1"/>
  <c r="H76" i="3"/>
  <c r="G76" i="3"/>
  <c r="F76" i="3"/>
  <c r="B76" i="3"/>
  <c r="K75" i="3"/>
  <c r="J75" i="3"/>
  <c r="I75" i="3"/>
  <c r="H75" i="3"/>
  <c r="G75" i="3"/>
  <c r="C75" i="3" s="1"/>
  <c r="D75" i="3" s="1"/>
  <c r="E75" i="3" s="1"/>
  <c r="F75" i="3"/>
  <c r="B75" i="3"/>
  <c r="K74" i="3"/>
  <c r="J74" i="3"/>
  <c r="I74" i="3"/>
  <c r="H74" i="3"/>
  <c r="G74" i="3"/>
  <c r="F74" i="3"/>
  <c r="C74" i="3" s="1"/>
  <c r="D74" i="3" s="1"/>
  <c r="E74" i="3" s="1"/>
  <c r="B74" i="3"/>
  <c r="K73" i="3"/>
  <c r="J73" i="3"/>
  <c r="I73" i="3"/>
  <c r="H73" i="3"/>
  <c r="G73" i="3"/>
  <c r="F73" i="3"/>
  <c r="C73" i="3"/>
  <c r="D73" i="3" s="1"/>
  <c r="E73" i="3" s="1"/>
  <c r="B73" i="3"/>
  <c r="K72" i="3"/>
  <c r="J72" i="3"/>
  <c r="I72" i="3"/>
  <c r="H72" i="3"/>
  <c r="G72" i="3"/>
  <c r="F72" i="3"/>
  <c r="C72" i="3"/>
  <c r="D72" i="3" s="1"/>
  <c r="E72" i="3" s="1"/>
  <c r="B72" i="3"/>
  <c r="K71" i="3"/>
  <c r="C71" i="3" s="1"/>
  <c r="J71" i="3"/>
  <c r="I71" i="3"/>
  <c r="H71" i="3"/>
  <c r="G71" i="3"/>
  <c r="F71" i="3"/>
  <c r="B71" i="3"/>
  <c r="K70" i="3"/>
  <c r="K82" i="3" s="1"/>
  <c r="J70" i="3"/>
  <c r="J82" i="3" s="1"/>
  <c r="I70" i="3"/>
  <c r="I82" i="3" s="1"/>
  <c r="H70" i="3"/>
  <c r="H82" i="3" s="1"/>
  <c r="G70" i="3"/>
  <c r="G82" i="3" s="1"/>
  <c r="F70" i="3"/>
  <c r="F82" i="3" s="1"/>
  <c r="B70" i="3"/>
  <c r="B82" i="3" s="1"/>
  <c r="H68" i="3"/>
  <c r="H88" i="3" s="1"/>
  <c r="G68" i="3"/>
  <c r="G88" i="3" s="1"/>
  <c r="K67" i="3"/>
  <c r="J67" i="3"/>
  <c r="I67" i="3"/>
  <c r="H67" i="3"/>
  <c r="G67" i="3"/>
  <c r="F67" i="3"/>
  <c r="C67" i="3" s="1"/>
  <c r="D67" i="3" s="1"/>
  <c r="E67" i="3" s="1"/>
  <c r="B67" i="3"/>
  <c r="K66" i="3"/>
  <c r="J66" i="3"/>
  <c r="I66" i="3"/>
  <c r="H66" i="3"/>
  <c r="G66" i="3"/>
  <c r="F66" i="3"/>
  <c r="C66" i="3"/>
  <c r="D66" i="3" s="1"/>
  <c r="E66" i="3" s="1"/>
  <c r="B66" i="3"/>
  <c r="K65" i="3"/>
  <c r="J65" i="3"/>
  <c r="I65" i="3"/>
  <c r="H65" i="3"/>
  <c r="G65" i="3"/>
  <c r="F65" i="3"/>
  <c r="C65" i="3"/>
  <c r="D65" i="3" s="1"/>
  <c r="E65" i="3" s="1"/>
  <c r="B65" i="3"/>
  <c r="K64" i="3"/>
  <c r="C64" i="3" s="1"/>
  <c r="D64" i="3" s="1"/>
  <c r="E64" i="3" s="1"/>
  <c r="J64" i="3"/>
  <c r="I64" i="3"/>
  <c r="H64" i="3"/>
  <c r="G64" i="3"/>
  <c r="F64" i="3"/>
  <c r="B64" i="3"/>
  <c r="K63" i="3"/>
  <c r="K68" i="3" s="1"/>
  <c r="J63" i="3"/>
  <c r="J68" i="3" s="1"/>
  <c r="I63" i="3"/>
  <c r="C63" i="3" s="1"/>
  <c r="H63" i="3"/>
  <c r="G63" i="3"/>
  <c r="F63" i="3"/>
  <c r="F68" i="3" s="1"/>
  <c r="B63" i="3"/>
  <c r="B68" i="3" s="1"/>
  <c r="K61" i="3"/>
  <c r="J61" i="3"/>
  <c r="I61" i="3"/>
  <c r="H61" i="3"/>
  <c r="G61" i="3"/>
  <c r="C61" i="3" s="1"/>
  <c r="F61" i="3"/>
  <c r="B61" i="3"/>
  <c r="K60" i="3"/>
  <c r="J60" i="3"/>
  <c r="I60" i="3"/>
  <c r="H60" i="3"/>
  <c r="G60" i="3"/>
  <c r="F60" i="3"/>
  <c r="C60" i="3" s="1"/>
  <c r="B60" i="3"/>
  <c r="D60" i="3" s="1"/>
  <c r="E60" i="3" s="1"/>
  <c r="K59" i="3"/>
  <c r="J59" i="3"/>
  <c r="I59" i="3"/>
  <c r="H59" i="3"/>
  <c r="G59" i="3"/>
  <c r="F59" i="3"/>
  <c r="C59" i="3"/>
  <c r="D59" i="3" s="1"/>
  <c r="E59" i="3" s="1"/>
  <c r="B59" i="3"/>
  <c r="K58" i="3"/>
  <c r="J58" i="3"/>
  <c r="I58" i="3"/>
  <c r="H58" i="3"/>
  <c r="G58" i="3"/>
  <c r="F58" i="3"/>
  <c r="C58" i="3"/>
  <c r="B58" i="3"/>
  <c r="D58" i="3" s="1"/>
  <c r="E58" i="3" s="1"/>
  <c r="K57" i="3"/>
  <c r="C57" i="3" s="1"/>
  <c r="J57" i="3"/>
  <c r="I57" i="3"/>
  <c r="H57" i="3"/>
  <c r="G57" i="3"/>
  <c r="F57" i="3"/>
  <c r="B57" i="3"/>
  <c r="D57" i="3" s="1"/>
  <c r="E57" i="3" s="1"/>
  <c r="K56" i="3"/>
  <c r="J56" i="3"/>
  <c r="I56" i="3"/>
  <c r="C56" i="3" s="1"/>
  <c r="H56" i="3"/>
  <c r="G56" i="3"/>
  <c r="F56" i="3"/>
  <c r="B56" i="3"/>
  <c r="K55" i="3"/>
  <c r="J55" i="3"/>
  <c r="I55" i="3"/>
  <c r="H55" i="3"/>
  <c r="G55" i="3"/>
  <c r="C55" i="3" s="1"/>
  <c r="F55" i="3"/>
  <c r="B55" i="3"/>
  <c r="D55" i="3" s="1"/>
  <c r="E55" i="3" s="1"/>
  <c r="K54" i="3"/>
  <c r="J54" i="3"/>
  <c r="I54" i="3"/>
  <c r="H54" i="3"/>
  <c r="G54" i="3"/>
  <c r="F54" i="3"/>
  <c r="C54" i="3" s="1"/>
  <c r="B54" i="3"/>
  <c r="D54" i="3" s="1"/>
  <c r="E54" i="3" s="1"/>
  <c r="K53" i="3"/>
  <c r="J53" i="3"/>
  <c r="I53" i="3"/>
  <c r="H53" i="3"/>
  <c r="G53" i="3"/>
  <c r="F53" i="3"/>
  <c r="C53" i="3"/>
  <c r="D53" i="3" s="1"/>
  <c r="E53" i="3" s="1"/>
  <c r="B53" i="3"/>
  <c r="K52" i="3"/>
  <c r="J52" i="3"/>
  <c r="I52" i="3"/>
  <c r="H52" i="3"/>
  <c r="G52" i="3"/>
  <c r="F52" i="3"/>
  <c r="C52" i="3"/>
  <c r="B52" i="3"/>
  <c r="D52" i="3" s="1"/>
  <c r="E52" i="3" s="1"/>
  <c r="K51" i="3"/>
  <c r="C51" i="3" s="1"/>
  <c r="J51" i="3"/>
  <c r="I51" i="3"/>
  <c r="H51" i="3"/>
  <c r="G51" i="3"/>
  <c r="F51" i="3"/>
  <c r="B51" i="3"/>
  <c r="K50" i="3"/>
  <c r="J50" i="3"/>
  <c r="I50" i="3"/>
  <c r="C50" i="3" s="1"/>
  <c r="H50" i="3"/>
  <c r="G50" i="3"/>
  <c r="F50" i="3"/>
  <c r="B50" i="3"/>
  <c r="D50" i="3" s="1"/>
  <c r="E50" i="3" s="1"/>
  <c r="K49" i="3"/>
  <c r="J49" i="3"/>
  <c r="I49" i="3"/>
  <c r="H49" i="3"/>
  <c r="G49" i="3"/>
  <c r="C49" i="3" s="1"/>
  <c r="F49" i="3"/>
  <c r="B49" i="3"/>
  <c r="D49" i="3" s="1"/>
  <c r="E49" i="3" s="1"/>
  <c r="K48" i="3"/>
  <c r="J48" i="3"/>
  <c r="I48" i="3"/>
  <c r="H48" i="3"/>
  <c r="G48" i="3"/>
  <c r="F48" i="3"/>
  <c r="C48" i="3" s="1"/>
  <c r="B48" i="3"/>
  <c r="K47" i="3"/>
  <c r="J47" i="3"/>
  <c r="I47" i="3"/>
  <c r="H47" i="3"/>
  <c r="G47" i="3"/>
  <c r="F47" i="3"/>
  <c r="C47" i="3"/>
  <c r="B47" i="3"/>
  <c r="K46" i="3"/>
  <c r="J46" i="3"/>
  <c r="I46" i="3"/>
  <c r="H46" i="3"/>
  <c r="G46" i="3"/>
  <c r="F46" i="3"/>
  <c r="B46" i="3"/>
  <c r="K45" i="3"/>
  <c r="J45" i="3"/>
  <c r="I45" i="3"/>
  <c r="H45" i="3"/>
  <c r="G45" i="3"/>
  <c r="F45" i="3"/>
  <c r="F88" i="3" s="1"/>
  <c r="F99" i="3" s="1"/>
  <c r="F101" i="3" s="1"/>
  <c r="B45" i="3"/>
  <c r="K42" i="3"/>
  <c r="J42" i="3"/>
  <c r="I42" i="3"/>
  <c r="H42" i="3"/>
  <c r="G42" i="3"/>
  <c r="F42" i="3"/>
  <c r="B42" i="3"/>
  <c r="K41" i="3"/>
  <c r="J41" i="3"/>
  <c r="I41" i="3"/>
  <c r="H41" i="3"/>
  <c r="G41" i="3"/>
  <c r="C41" i="3" s="1"/>
  <c r="D41" i="3" s="1"/>
  <c r="E41" i="3" s="1"/>
  <c r="F41" i="3"/>
  <c r="B41" i="3"/>
  <c r="K40" i="3"/>
  <c r="J40" i="3"/>
  <c r="I40" i="3"/>
  <c r="H40" i="3"/>
  <c r="G40" i="3"/>
  <c r="F40" i="3"/>
  <c r="C40" i="3" s="1"/>
  <c r="D40" i="3" s="1"/>
  <c r="E40" i="3" s="1"/>
  <c r="B40" i="3"/>
  <c r="K39" i="3"/>
  <c r="J39" i="3"/>
  <c r="I39" i="3"/>
  <c r="H39" i="3"/>
  <c r="G39" i="3"/>
  <c r="F39" i="3"/>
  <c r="C39" i="3"/>
  <c r="D39" i="3" s="1"/>
  <c r="E39" i="3" s="1"/>
  <c r="B39" i="3"/>
  <c r="K38" i="3"/>
  <c r="J38" i="3"/>
  <c r="I38" i="3"/>
  <c r="H38" i="3"/>
  <c r="G38" i="3"/>
  <c r="F38" i="3"/>
  <c r="C38" i="3"/>
  <c r="D38" i="3" s="1"/>
  <c r="E38" i="3" s="1"/>
  <c r="B38" i="3"/>
  <c r="K37" i="3"/>
  <c r="C37" i="3" s="1"/>
  <c r="D37" i="3" s="1"/>
  <c r="E37" i="3" s="1"/>
  <c r="J37" i="3"/>
  <c r="I37" i="3"/>
  <c r="H37" i="3"/>
  <c r="G37" i="3"/>
  <c r="F37" i="3"/>
  <c r="B37" i="3"/>
  <c r="K36" i="3"/>
  <c r="J36" i="3"/>
  <c r="I36" i="3"/>
  <c r="C36" i="3" s="1"/>
  <c r="D36" i="3" s="1"/>
  <c r="E36" i="3" s="1"/>
  <c r="H36" i="3"/>
  <c r="G36" i="3"/>
  <c r="F36" i="3"/>
  <c r="B36" i="3"/>
  <c r="K35" i="3"/>
  <c r="J35" i="3"/>
  <c r="I35" i="3"/>
  <c r="H35" i="3"/>
  <c r="G35" i="3"/>
  <c r="C35" i="3" s="1"/>
  <c r="D35" i="3" s="1"/>
  <c r="E35" i="3" s="1"/>
  <c r="F35" i="3"/>
  <c r="B35" i="3"/>
  <c r="K34" i="3"/>
  <c r="J34" i="3"/>
  <c r="I34" i="3"/>
  <c r="H34" i="3"/>
  <c r="G34" i="3"/>
  <c r="F34" i="3"/>
  <c r="C34" i="3" s="1"/>
  <c r="B34" i="3"/>
  <c r="K33" i="3"/>
  <c r="J33" i="3"/>
  <c r="I33" i="3"/>
  <c r="H33" i="3"/>
  <c r="G33" i="3"/>
  <c r="F33" i="3"/>
  <c r="B33" i="3"/>
  <c r="K32" i="3"/>
  <c r="J32" i="3"/>
  <c r="I32" i="3"/>
  <c r="H32" i="3"/>
  <c r="G32" i="3"/>
  <c r="F32" i="3"/>
  <c r="C32" i="3"/>
  <c r="D32" i="3" s="1"/>
  <c r="E32" i="3" s="1"/>
  <c r="B32" i="3"/>
  <c r="K31" i="3"/>
  <c r="C31" i="3" s="1"/>
  <c r="D31" i="3" s="1"/>
  <c r="E31" i="3" s="1"/>
  <c r="J31" i="3"/>
  <c r="I31" i="3"/>
  <c r="H31" i="3"/>
  <c r="G31" i="3"/>
  <c r="F31" i="3"/>
  <c r="B31" i="3"/>
  <c r="K30" i="3"/>
  <c r="J30" i="3"/>
  <c r="I30" i="3"/>
  <c r="C30" i="3" s="1"/>
  <c r="H30" i="3"/>
  <c r="G30" i="3"/>
  <c r="F30" i="3"/>
  <c r="B30" i="3"/>
  <c r="K29" i="3"/>
  <c r="J29" i="3"/>
  <c r="I29" i="3"/>
  <c r="H29" i="3"/>
  <c r="G29" i="3"/>
  <c r="F29" i="3"/>
  <c r="B29" i="3"/>
  <c r="K28" i="3"/>
  <c r="J28" i="3"/>
  <c r="I28" i="3"/>
  <c r="H28" i="3"/>
  <c r="G28" i="3"/>
  <c r="F28" i="3"/>
  <c r="C28" i="3" s="1"/>
  <c r="D28" i="3" s="1"/>
  <c r="E28" i="3" s="1"/>
  <c r="B28" i="3"/>
  <c r="K27" i="3"/>
  <c r="J27" i="3"/>
  <c r="I27" i="3"/>
  <c r="H27" i="3"/>
  <c r="G27" i="3"/>
  <c r="F27" i="3"/>
  <c r="C27" i="3"/>
  <c r="D27" i="3" s="1"/>
  <c r="E27" i="3" s="1"/>
  <c r="B27" i="3"/>
  <c r="K26" i="3"/>
  <c r="J26" i="3"/>
  <c r="I26" i="3"/>
  <c r="H26" i="3"/>
  <c r="G26" i="3"/>
  <c r="F26" i="3"/>
  <c r="C26" i="3"/>
  <c r="D26" i="3" s="1"/>
  <c r="E26" i="3" s="1"/>
  <c r="B26" i="3"/>
  <c r="K25" i="3"/>
  <c r="C25" i="3" s="1"/>
  <c r="D25" i="3" s="1"/>
  <c r="E25" i="3" s="1"/>
  <c r="J25" i="3"/>
  <c r="I25" i="3"/>
  <c r="H25" i="3"/>
  <c r="G25" i="3"/>
  <c r="F25" i="3"/>
  <c r="B25" i="3"/>
  <c r="K24" i="3"/>
  <c r="J24" i="3"/>
  <c r="I24" i="3"/>
  <c r="C24" i="3" s="1"/>
  <c r="D24" i="3" s="1"/>
  <c r="E24" i="3" s="1"/>
  <c r="H24" i="3"/>
  <c r="G24" i="3"/>
  <c r="F24" i="3"/>
  <c r="B24" i="3"/>
  <c r="K23" i="3"/>
  <c r="J23" i="3"/>
  <c r="I23" i="3"/>
  <c r="H23" i="3"/>
  <c r="G23" i="3"/>
  <c r="C23" i="3" s="1"/>
  <c r="D23" i="3" s="1"/>
  <c r="E23" i="3" s="1"/>
  <c r="F23" i="3"/>
  <c r="B23" i="3"/>
  <c r="K22" i="3"/>
  <c r="J22" i="3"/>
  <c r="I22" i="3"/>
  <c r="H22" i="3"/>
  <c r="G22" i="3"/>
  <c r="F22" i="3"/>
  <c r="C22" i="3" s="1"/>
  <c r="D22" i="3" s="1"/>
  <c r="E22" i="3" s="1"/>
  <c r="B22" i="3"/>
  <c r="K21" i="3"/>
  <c r="J21" i="3"/>
  <c r="I21" i="3"/>
  <c r="H21" i="3"/>
  <c r="G21" i="3"/>
  <c r="F21" i="3"/>
  <c r="C21" i="3"/>
  <c r="D21" i="3" s="1"/>
  <c r="E21" i="3" s="1"/>
  <c r="B21" i="3"/>
  <c r="K20" i="3"/>
  <c r="J20" i="3"/>
  <c r="I20" i="3"/>
  <c r="H20" i="3"/>
  <c r="G20" i="3"/>
  <c r="F20" i="3"/>
  <c r="C20" i="3"/>
  <c r="C19" i="3" s="1"/>
  <c r="D19" i="3" s="1"/>
  <c r="E19" i="3" s="1"/>
  <c r="B20" i="3"/>
  <c r="K19" i="3"/>
  <c r="J19" i="3"/>
  <c r="I19" i="3"/>
  <c r="H19" i="3"/>
  <c r="G19" i="3"/>
  <c r="F19" i="3"/>
  <c r="B19" i="3"/>
  <c r="K18" i="3"/>
  <c r="J18" i="3"/>
  <c r="I18" i="3"/>
  <c r="C18" i="3" s="1"/>
  <c r="D18" i="3" s="1"/>
  <c r="E18" i="3" s="1"/>
  <c r="H18" i="3"/>
  <c r="G18" i="3"/>
  <c r="F18" i="3"/>
  <c r="B18" i="3"/>
  <c r="K17" i="3"/>
  <c r="J17" i="3"/>
  <c r="I17" i="3"/>
  <c r="H17" i="3"/>
  <c r="G17" i="3"/>
  <c r="C17" i="3" s="1"/>
  <c r="F17" i="3"/>
  <c r="B17" i="3"/>
  <c r="K16" i="3"/>
  <c r="J16" i="3"/>
  <c r="I16" i="3"/>
  <c r="H16" i="3"/>
  <c r="G16" i="3"/>
  <c r="F16" i="3"/>
  <c r="B16" i="3"/>
  <c r="B13" i="3"/>
  <c r="B9" i="3"/>
  <c r="F103" i="3" l="1"/>
  <c r="G100" i="3"/>
  <c r="C46" i="3"/>
  <c r="D46" i="3" s="1"/>
  <c r="E46" i="3" s="1"/>
  <c r="C16" i="3"/>
  <c r="D17" i="3"/>
  <c r="E17" i="3" s="1"/>
  <c r="G99" i="3"/>
  <c r="G101" i="3" s="1"/>
  <c r="G100" i="4"/>
  <c r="F103" i="4"/>
  <c r="D30" i="3"/>
  <c r="E30" i="3" s="1"/>
  <c r="C29" i="3"/>
  <c r="D29" i="3" s="1"/>
  <c r="E29" i="3" s="1"/>
  <c r="K88" i="3"/>
  <c r="K99" i="3" s="1"/>
  <c r="D51" i="3"/>
  <c r="E51" i="3" s="1"/>
  <c r="D34" i="3"/>
  <c r="E34" i="3" s="1"/>
  <c r="C33" i="3"/>
  <c r="D33" i="3" s="1"/>
  <c r="E33" i="3" s="1"/>
  <c r="D56" i="3"/>
  <c r="E56" i="3" s="1"/>
  <c r="C68" i="3"/>
  <c r="D68" i="3" s="1"/>
  <c r="E68" i="3" s="1"/>
  <c r="D63" i="3"/>
  <c r="E63" i="3" s="1"/>
  <c r="D71" i="3"/>
  <c r="E71" i="3" s="1"/>
  <c r="C70" i="3"/>
  <c r="I99" i="3"/>
  <c r="D61" i="3"/>
  <c r="E61" i="3" s="1"/>
  <c r="J88" i="3"/>
  <c r="G103" i="5"/>
  <c r="H100" i="5"/>
  <c r="H101" i="5" s="1"/>
  <c r="B88" i="3"/>
  <c r="B99" i="3" s="1"/>
  <c r="B101" i="3" s="1"/>
  <c r="H99" i="3"/>
  <c r="J99" i="3"/>
  <c r="D48" i="3"/>
  <c r="E48" i="3" s="1"/>
  <c r="K98" i="3"/>
  <c r="D47" i="3"/>
  <c r="E47" i="3" s="1"/>
  <c r="D42" i="6"/>
  <c r="E42" i="6" s="1"/>
  <c r="C99" i="6"/>
  <c r="C101" i="6" s="1"/>
  <c r="D91" i="4"/>
  <c r="E91" i="4" s="1"/>
  <c r="C98" i="4"/>
  <c r="D98" i="4" s="1"/>
  <c r="E98" i="4" s="1"/>
  <c r="I68" i="3"/>
  <c r="I88" i="3" s="1"/>
  <c r="D20" i="3"/>
  <c r="E20" i="3" s="1"/>
  <c r="G101" i="4"/>
  <c r="C45" i="3"/>
  <c r="C84" i="3"/>
  <c r="C42" i="5"/>
  <c r="D16" i="5"/>
  <c r="E16" i="5" s="1"/>
  <c r="C91" i="3"/>
  <c r="I100" i="6"/>
  <c r="I101" i="6" s="1"/>
  <c r="H103" i="6"/>
  <c r="C46" i="4"/>
  <c r="C88" i="5"/>
  <c r="D88" i="5" s="1"/>
  <c r="E88" i="5" s="1"/>
  <c r="C82" i="4"/>
  <c r="D82" i="4" s="1"/>
  <c r="E82" i="4" s="1"/>
  <c r="D70" i="4"/>
  <c r="E70" i="4" s="1"/>
  <c r="D42" i="7"/>
  <c r="E42" i="7" s="1"/>
  <c r="C19" i="4"/>
  <c r="K102" i="2"/>
  <c r="J102" i="2"/>
  <c r="I102" i="2"/>
  <c r="H102" i="2"/>
  <c r="G102" i="2"/>
  <c r="F102" i="2"/>
  <c r="F100" i="2"/>
  <c r="C100" i="2"/>
  <c r="B100" i="2"/>
  <c r="F98" i="2"/>
  <c r="K97" i="2"/>
  <c r="J97" i="2"/>
  <c r="C97" i="2" s="1"/>
  <c r="D97" i="2" s="1"/>
  <c r="E97" i="2" s="1"/>
  <c r="I97" i="2"/>
  <c r="H97" i="2"/>
  <c r="G97" i="2"/>
  <c r="F97" i="2"/>
  <c r="B97" i="2"/>
  <c r="K96" i="2"/>
  <c r="J96" i="2"/>
  <c r="I96" i="2"/>
  <c r="H96" i="2"/>
  <c r="C96" i="2" s="1"/>
  <c r="D96" i="2" s="1"/>
  <c r="E96" i="2" s="1"/>
  <c r="G96" i="2"/>
  <c r="F96" i="2"/>
  <c r="B96" i="2"/>
  <c r="K95" i="2"/>
  <c r="J95" i="2"/>
  <c r="I95" i="2"/>
  <c r="H95" i="2"/>
  <c r="G95" i="2"/>
  <c r="F95" i="2"/>
  <c r="C95" i="2" s="1"/>
  <c r="D95" i="2" s="1"/>
  <c r="E95" i="2" s="1"/>
  <c r="B95" i="2"/>
  <c r="K94" i="2"/>
  <c r="J94" i="2"/>
  <c r="I94" i="2"/>
  <c r="H94" i="2"/>
  <c r="G94" i="2"/>
  <c r="F94" i="2"/>
  <c r="C94" i="2" s="1"/>
  <c r="D94" i="2" s="1"/>
  <c r="E94" i="2" s="1"/>
  <c r="B94" i="2"/>
  <c r="K93" i="2"/>
  <c r="J93" i="2"/>
  <c r="I93" i="2"/>
  <c r="H93" i="2"/>
  <c r="G93" i="2"/>
  <c r="F93" i="2"/>
  <c r="C93" i="2"/>
  <c r="D93" i="2" s="1"/>
  <c r="E93" i="2" s="1"/>
  <c r="B93" i="2"/>
  <c r="K92" i="2"/>
  <c r="J92" i="2"/>
  <c r="I92" i="2"/>
  <c r="I98" i="2" s="1"/>
  <c r="H92" i="2"/>
  <c r="H98" i="2" s="1"/>
  <c r="G92" i="2"/>
  <c r="G98" i="2" s="1"/>
  <c r="F92" i="2"/>
  <c r="C92" i="2"/>
  <c r="D92" i="2" s="1"/>
  <c r="E92" i="2" s="1"/>
  <c r="B92" i="2"/>
  <c r="B98" i="2" s="1"/>
  <c r="K91" i="2"/>
  <c r="K98" i="2" s="1"/>
  <c r="J91" i="2"/>
  <c r="J98" i="2" s="1"/>
  <c r="I91" i="2"/>
  <c r="H91" i="2"/>
  <c r="G91" i="2"/>
  <c r="F91" i="2"/>
  <c r="B91" i="2"/>
  <c r="K87" i="2"/>
  <c r="J87" i="2"/>
  <c r="I87" i="2"/>
  <c r="H87" i="2"/>
  <c r="G87" i="2"/>
  <c r="F87" i="2"/>
  <c r="K86" i="2"/>
  <c r="J86" i="2"/>
  <c r="I86" i="2"/>
  <c r="H86" i="2"/>
  <c r="G86" i="2"/>
  <c r="F86" i="2"/>
  <c r="C86" i="2" s="1"/>
  <c r="D86" i="2" s="1"/>
  <c r="E86" i="2" s="1"/>
  <c r="B86" i="2"/>
  <c r="K85" i="2"/>
  <c r="J85" i="2"/>
  <c r="I85" i="2"/>
  <c r="H85" i="2"/>
  <c r="G85" i="2"/>
  <c r="F85" i="2"/>
  <c r="C85" i="2"/>
  <c r="D85" i="2" s="1"/>
  <c r="E85" i="2" s="1"/>
  <c r="B85" i="2"/>
  <c r="K84" i="2"/>
  <c r="J84" i="2"/>
  <c r="I84" i="2"/>
  <c r="H84" i="2"/>
  <c r="G84" i="2"/>
  <c r="F84" i="2"/>
  <c r="C84" i="2"/>
  <c r="C87" i="2" s="1"/>
  <c r="B84" i="2"/>
  <c r="B87" i="2" s="1"/>
  <c r="K81" i="2"/>
  <c r="J81" i="2"/>
  <c r="I81" i="2"/>
  <c r="H81" i="2"/>
  <c r="C81" i="2" s="1"/>
  <c r="D81" i="2" s="1"/>
  <c r="E81" i="2" s="1"/>
  <c r="G81" i="2"/>
  <c r="F81" i="2"/>
  <c r="B81" i="2"/>
  <c r="K80" i="2"/>
  <c r="J80" i="2"/>
  <c r="I80" i="2"/>
  <c r="H80" i="2"/>
  <c r="G80" i="2"/>
  <c r="F80" i="2"/>
  <c r="C80" i="2" s="1"/>
  <c r="D80" i="2" s="1"/>
  <c r="E80" i="2" s="1"/>
  <c r="B80" i="2"/>
  <c r="K79" i="2"/>
  <c r="J79" i="2"/>
  <c r="I79" i="2"/>
  <c r="H79" i="2"/>
  <c r="G79" i="2"/>
  <c r="F79" i="2"/>
  <c r="C79" i="2" s="1"/>
  <c r="D79" i="2" s="1"/>
  <c r="E79" i="2" s="1"/>
  <c r="B79" i="2"/>
  <c r="K78" i="2"/>
  <c r="J78" i="2"/>
  <c r="I78" i="2"/>
  <c r="H78" i="2"/>
  <c r="G78" i="2"/>
  <c r="F78" i="2"/>
  <c r="C78" i="2"/>
  <c r="D78" i="2" s="1"/>
  <c r="E78" i="2" s="1"/>
  <c r="B78" i="2"/>
  <c r="K77" i="2"/>
  <c r="J77" i="2"/>
  <c r="I77" i="2"/>
  <c r="H77" i="2"/>
  <c r="G77" i="2"/>
  <c r="F77" i="2"/>
  <c r="C77" i="2"/>
  <c r="D77" i="2" s="1"/>
  <c r="E77" i="2" s="1"/>
  <c r="B77" i="2"/>
  <c r="K76" i="2"/>
  <c r="J76" i="2"/>
  <c r="C76" i="2" s="1"/>
  <c r="D76" i="2" s="1"/>
  <c r="E76" i="2" s="1"/>
  <c r="I76" i="2"/>
  <c r="H76" i="2"/>
  <c r="G76" i="2"/>
  <c r="F76" i="2"/>
  <c r="B76" i="2"/>
  <c r="K75" i="2"/>
  <c r="J75" i="2"/>
  <c r="I75" i="2"/>
  <c r="H75" i="2"/>
  <c r="C75" i="2" s="1"/>
  <c r="D75" i="2" s="1"/>
  <c r="E75" i="2" s="1"/>
  <c r="G75" i="2"/>
  <c r="F75" i="2"/>
  <c r="B75" i="2"/>
  <c r="K74" i="2"/>
  <c r="J74" i="2"/>
  <c r="I74" i="2"/>
  <c r="H74" i="2"/>
  <c r="G74" i="2"/>
  <c r="F74" i="2"/>
  <c r="C74" i="2" s="1"/>
  <c r="D74" i="2" s="1"/>
  <c r="E74" i="2" s="1"/>
  <c r="B74" i="2"/>
  <c r="K73" i="2"/>
  <c r="J73" i="2"/>
  <c r="I73" i="2"/>
  <c r="H73" i="2"/>
  <c r="G73" i="2"/>
  <c r="F73" i="2"/>
  <c r="C73" i="2" s="1"/>
  <c r="D73" i="2" s="1"/>
  <c r="E73" i="2" s="1"/>
  <c r="B73" i="2"/>
  <c r="K72" i="2"/>
  <c r="J72" i="2"/>
  <c r="I72" i="2"/>
  <c r="H72" i="2"/>
  <c r="G72" i="2"/>
  <c r="F72" i="2"/>
  <c r="C72" i="2"/>
  <c r="D72" i="2" s="1"/>
  <c r="E72" i="2" s="1"/>
  <c r="B72" i="2"/>
  <c r="K71" i="2"/>
  <c r="J71" i="2"/>
  <c r="I71" i="2"/>
  <c r="H71" i="2"/>
  <c r="G71" i="2"/>
  <c r="F71" i="2"/>
  <c r="C71" i="2"/>
  <c r="B71" i="2"/>
  <c r="K70" i="2"/>
  <c r="K82" i="2" s="1"/>
  <c r="J70" i="2"/>
  <c r="J82" i="2" s="1"/>
  <c r="I70" i="2"/>
  <c r="I82" i="2" s="1"/>
  <c r="H70" i="2"/>
  <c r="H82" i="2" s="1"/>
  <c r="G70" i="2"/>
  <c r="G82" i="2" s="1"/>
  <c r="F70" i="2"/>
  <c r="F82" i="2" s="1"/>
  <c r="B70" i="2"/>
  <c r="B82" i="2" s="1"/>
  <c r="I68" i="2"/>
  <c r="H68" i="2"/>
  <c r="H88" i="2" s="1"/>
  <c r="G68" i="2"/>
  <c r="K67" i="2"/>
  <c r="J67" i="2"/>
  <c r="I67" i="2"/>
  <c r="H67" i="2"/>
  <c r="G67" i="2"/>
  <c r="F67" i="2"/>
  <c r="C67" i="2" s="1"/>
  <c r="D67" i="2" s="1"/>
  <c r="E67" i="2" s="1"/>
  <c r="B67" i="2"/>
  <c r="K66" i="2"/>
  <c r="J66" i="2"/>
  <c r="I66" i="2"/>
  <c r="H66" i="2"/>
  <c r="G66" i="2"/>
  <c r="F66" i="2"/>
  <c r="C66" i="2" s="1"/>
  <c r="D66" i="2" s="1"/>
  <c r="E66" i="2" s="1"/>
  <c r="B66" i="2"/>
  <c r="K65" i="2"/>
  <c r="J65" i="2"/>
  <c r="I65" i="2"/>
  <c r="H65" i="2"/>
  <c r="G65" i="2"/>
  <c r="F65" i="2"/>
  <c r="C65" i="2"/>
  <c r="D65" i="2" s="1"/>
  <c r="E65" i="2" s="1"/>
  <c r="B65" i="2"/>
  <c r="K64" i="2"/>
  <c r="J64" i="2"/>
  <c r="I64" i="2"/>
  <c r="H64" i="2"/>
  <c r="G64" i="2"/>
  <c r="F64" i="2"/>
  <c r="C64" i="2"/>
  <c r="D64" i="2" s="1"/>
  <c r="E64" i="2" s="1"/>
  <c r="B64" i="2"/>
  <c r="K63" i="2"/>
  <c r="K68" i="2" s="1"/>
  <c r="J63" i="2"/>
  <c r="C63" i="2" s="1"/>
  <c r="I63" i="2"/>
  <c r="H63" i="2"/>
  <c r="G63" i="2"/>
  <c r="F63" i="2"/>
  <c r="F68" i="2" s="1"/>
  <c r="B63" i="2"/>
  <c r="B68" i="2" s="1"/>
  <c r="K61" i="2"/>
  <c r="J61" i="2"/>
  <c r="I61" i="2"/>
  <c r="H61" i="2"/>
  <c r="C61" i="2" s="1"/>
  <c r="G61" i="2"/>
  <c r="F61" i="2"/>
  <c r="B61" i="2"/>
  <c r="K60" i="2"/>
  <c r="J60" i="2"/>
  <c r="I60" i="2"/>
  <c r="H60" i="2"/>
  <c r="G60" i="2"/>
  <c r="F60" i="2"/>
  <c r="C60" i="2" s="1"/>
  <c r="B60" i="2"/>
  <c r="D60" i="2" s="1"/>
  <c r="E60" i="2" s="1"/>
  <c r="K59" i="2"/>
  <c r="J59" i="2"/>
  <c r="I59" i="2"/>
  <c r="H59" i="2"/>
  <c r="G59" i="2"/>
  <c r="F59" i="2"/>
  <c r="C59" i="2" s="1"/>
  <c r="D59" i="2" s="1"/>
  <c r="E59" i="2" s="1"/>
  <c r="B59" i="2"/>
  <c r="K58" i="2"/>
  <c r="J58" i="2"/>
  <c r="I58" i="2"/>
  <c r="H58" i="2"/>
  <c r="G58" i="2"/>
  <c r="F58" i="2"/>
  <c r="C58" i="2"/>
  <c r="B58" i="2"/>
  <c r="D58" i="2" s="1"/>
  <c r="E58" i="2" s="1"/>
  <c r="K57" i="2"/>
  <c r="J57" i="2"/>
  <c r="I57" i="2"/>
  <c r="H57" i="2"/>
  <c r="G57" i="2"/>
  <c r="F57" i="2"/>
  <c r="C57" i="2"/>
  <c r="B57" i="2"/>
  <c r="D57" i="2" s="1"/>
  <c r="E57" i="2" s="1"/>
  <c r="K56" i="2"/>
  <c r="J56" i="2"/>
  <c r="C56" i="2" s="1"/>
  <c r="I56" i="2"/>
  <c r="H56" i="2"/>
  <c r="G56" i="2"/>
  <c r="F56" i="2"/>
  <c r="B56" i="2"/>
  <c r="K55" i="2"/>
  <c r="J55" i="2"/>
  <c r="I55" i="2"/>
  <c r="H55" i="2"/>
  <c r="C55" i="2" s="1"/>
  <c r="G55" i="2"/>
  <c r="F55" i="2"/>
  <c r="B55" i="2"/>
  <c r="D55" i="2" s="1"/>
  <c r="E55" i="2" s="1"/>
  <c r="K54" i="2"/>
  <c r="J54" i="2"/>
  <c r="I54" i="2"/>
  <c r="H54" i="2"/>
  <c r="G54" i="2"/>
  <c r="F54" i="2"/>
  <c r="C54" i="2" s="1"/>
  <c r="B54" i="2"/>
  <c r="D54" i="2" s="1"/>
  <c r="E54" i="2" s="1"/>
  <c r="K53" i="2"/>
  <c r="J53" i="2"/>
  <c r="I53" i="2"/>
  <c r="H53" i="2"/>
  <c r="G53" i="2"/>
  <c r="F53" i="2"/>
  <c r="C53" i="2" s="1"/>
  <c r="D53" i="2" s="1"/>
  <c r="E53" i="2" s="1"/>
  <c r="B53" i="2"/>
  <c r="K52" i="2"/>
  <c r="J52" i="2"/>
  <c r="I52" i="2"/>
  <c r="H52" i="2"/>
  <c r="G52" i="2"/>
  <c r="F52" i="2"/>
  <c r="C52" i="2"/>
  <c r="B52" i="2"/>
  <c r="D52" i="2" s="1"/>
  <c r="E52" i="2" s="1"/>
  <c r="K51" i="2"/>
  <c r="J51" i="2"/>
  <c r="I51" i="2"/>
  <c r="H51" i="2"/>
  <c r="G51" i="2"/>
  <c r="F51" i="2"/>
  <c r="C51" i="2"/>
  <c r="B51" i="2"/>
  <c r="D51" i="2" s="1"/>
  <c r="E51" i="2" s="1"/>
  <c r="K50" i="2"/>
  <c r="J50" i="2"/>
  <c r="C50" i="2" s="1"/>
  <c r="I50" i="2"/>
  <c r="H50" i="2"/>
  <c r="G50" i="2"/>
  <c r="F50" i="2"/>
  <c r="B50" i="2"/>
  <c r="D50" i="2" s="1"/>
  <c r="E50" i="2" s="1"/>
  <c r="K49" i="2"/>
  <c r="J49" i="2"/>
  <c r="I49" i="2"/>
  <c r="H49" i="2"/>
  <c r="C49" i="2" s="1"/>
  <c r="G49" i="2"/>
  <c r="F49" i="2"/>
  <c r="B49" i="2"/>
  <c r="D49" i="2" s="1"/>
  <c r="E49" i="2" s="1"/>
  <c r="K48" i="2"/>
  <c r="J48" i="2"/>
  <c r="I48" i="2"/>
  <c r="H48" i="2"/>
  <c r="G48" i="2"/>
  <c r="F48" i="2"/>
  <c r="C48" i="2" s="1"/>
  <c r="B48" i="2"/>
  <c r="D48" i="2" s="1"/>
  <c r="E48" i="2" s="1"/>
  <c r="K47" i="2"/>
  <c r="J47" i="2"/>
  <c r="I47" i="2"/>
  <c r="H47" i="2"/>
  <c r="G47" i="2"/>
  <c r="F47" i="2"/>
  <c r="C47" i="2" s="1"/>
  <c r="B47" i="2"/>
  <c r="K46" i="2"/>
  <c r="J46" i="2"/>
  <c r="I46" i="2"/>
  <c r="H46" i="2"/>
  <c r="G46" i="2"/>
  <c r="F46" i="2"/>
  <c r="B46" i="2"/>
  <c r="K45" i="2"/>
  <c r="J45" i="2"/>
  <c r="I45" i="2"/>
  <c r="H45" i="2"/>
  <c r="C45" i="2" s="1"/>
  <c r="G45" i="2"/>
  <c r="G88" i="2" s="1"/>
  <c r="G99" i="2" s="1"/>
  <c r="F45" i="2"/>
  <c r="F88" i="2" s="1"/>
  <c r="F99" i="2" s="1"/>
  <c r="F101" i="2" s="1"/>
  <c r="B45" i="2"/>
  <c r="K42" i="2"/>
  <c r="J42" i="2"/>
  <c r="H42" i="2"/>
  <c r="G42" i="2"/>
  <c r="F42" i="2"/>
  <c r="B42" i="2"/>
  <c r="K41" i="2"/>
  <c r="J41" i="2"/>
  <c r="I41" i="2"/>
  <c r="H41" i="2"/>
  <c r="C41" i="2" s="1"/>
  <c r="D41" i="2" s="1"/>
  <c r="E41" i="2" s="1"/>
  <c r="G41" i="2"/>
  <c r="F41" i="2"/>
  <c r="B41" i="2"/>
  <c r="K40" i="2"/>
  <c r="J40" i="2"/>
  <c r="I40" i="2"/>
  <c r="H40" i="2"/>
  <c r="G40" i="2"/>
  <c r="F40" i="2"/>
  <c r="C40" i="2" s="1"/>
  <c r="D40" i="2" s="1"/>
  <c r="E40" i="2" s="1"/>
  <c r="B40" i="2"/>
  <c r="K39" i="2"/>
  <c r="J39" i="2"/>
  <c r="I39" i="2"/>
  <c r="H39" i="2"/>
  <c r="G39" i="2"/>
  <c r="F39" i="2"/>
  <c r="C39" i="2" s="1"/>
  <c r="D39" i="2" s="1"/>
  <c r="E39" i="2" s="1"/>
  <c r="B39" i="2"/>
  <c r="K38" i="2"/>
  <c r="J38" i="2"/>
  <c r="I38" i="2"/>
  <c r="H38" i="2"/>
  <c r="G38" i="2"/>
  <c r="F38" i="2"/>
  <c r="C38" i="2"/>
  <c r="D38" i="2" s="1"/>
  <c r="E38" i="2" s="1"/>
  <c r="B38" i="2"/>
  <c r="K37" i="2"/>
  <c r="J37" i="2"/>
  <c r="I37" i="2"/>
  <c r="H37" i="2"/>
  <c r="G37" i="2"/>
  <c r="F37" i="2"/>
  <c r="C37" i="2"/>
  <c r="D37" i="2" s="1"/>
  <c r="E37" i="2" s="1"/>
  <c r="B37" i="2"/>
  <c r="K36" i="2"/>
  <c r="J36" i="2"/>
  <c r="C36" i="2" s="1"/>
  <c r="D36" i="2" s="1"/>
  <c r="E36" i="2" s="1"/>
  <c r="I36" i="2"/>
  <c r="H36" i="2"/>
  <c r="G36" i="2"/>
  <c r="F36" i="2"/>
  <c r="B36" i="2"/>
  <c r="K35" i="2"/>
  <c r="J35" i="2"/>
  <c r="I35" i="2"/>
  <c r="H35" i="2"/>
  <c r="C35" i="2" s="1"/>
  <c r="D35" i="2" s="1"/>
  <c r="E35" i="2" s="1"/>
  <c r="G35" i="2"/>
  <c r="F35" i="2"/>
  <c r="B35" i="2"/>
  <c r="K34" i="2"/>
  <c r="J34" i="2"/>
  <c r="I34" i="2"/>
  <c r="H34" i="2"/>
  <c r="G34" i="2"/>
  <c r="F34" i="2"/>
  <c r="C34" i="2" s="1"/>
  <c r="B34" i="2"/>
  <c r="K33" i="2"/>
  <c r="J33" i="2"/>
  <c r="I33" i="2"/>
  <c r="H33" i="2"/>
  <c r="G33" i="2"/>
  <c r="F33" i="2"/>
  <c r="B33" i="2"/>
  <c r="K32" i="2"/>
  <c r="J32" i="2"/>
  <c r="I32" i="2"/>
  <c r="H32" i="2"/>
  <c r="G32" i="2"/>
  <c r="F32" i="2"/>
  <c r="C32" i="2"/>
  <c r="D32" i="2" s="1"/>
  <c r="E32" i="2" s="1"/>
  <c r="B32" i="2"/>
  <c r="K31" i="2"/>
  <c r="J31" i="2"/>
  <c r="I31" i="2"/>
  <c r="H31" i="2"/>
  <c r="G31" i="2"/>
  <c r="F31" i="2"/>
  <c r="C31" i="2"/>
  <c r="D31" i="2" s="1"/>
  <c r="E31" i="2" s="1"/>
  <c r="B31" i="2"/>
  <c r="K30" i="2"/>
  <c r="J30" i="2"/>
  <c r="C30" i="2" s="1"/>
  <c r="I30" i="2"/>
  <c r="H30" i="2"/>
  <c r="G30" i="2"/>
  <c r="F30" i="2"/>
  <c r="B30" i="2"/>
  <c r="K29" i="2"/>
  <c r="J29" i="2"/>
  <c r="I29" i="2"/>
  <c r="H29" i="2"/>
  <c r="G29" i="2"/>
  <c r="F29" i="2"/>
  <c r="B29" i="2"/>
  <c r="K28" i="2"/>
  <c r="J28" i="2"/>
  <c r="I28" i="2"/>
  <c r="H28" i="2"/>
  <c r="G28" i="2"/>
  <c r="F28" i="2"/>
  <c r="C28" i="2" s="1"/>
  <c r="D28" i="2" s="1"/>
  <c r="E28" i="2" s="1"/>
  <c r="B28" i="2"/>
  <c r="K27" i="2"/>
  <c r="J27" i="2"/>
  <c r="I27" i="2"/>
  <c r="H27" i="2"/>
  <c r="G27" i="2"/>
  <c r="F27" i="2"/>
  <c r="C27" i="2" s="1"/>
  <c r="D27" i="2" s="1"/>
  <c r="E27" i="2" s="1"/>
  <c r="B27" i="2"/>
  <c r="K26" i="2"/>
  <c r="J26" i="2"/>
  <c r="I26" i="2"/>
  <c r="H26" i="2"/>
  <c r="G26" i="2"/>
  <c r="F26" i="2"/>
  <c r="C26" i="2"/>
  <c r="D26" i="2" s="1"/>
  <c r="E26" i="2" s="1"/>
  <c r="B26" i="2"/>
  <c r="K25" i="2"/>
  <c r="J25" i="2"/>
  <c r="I25" i="2"/>
  <c r="H25" i="2"/>
  <c r="G25" i="2"/>
  <c r="F25" i="2"/>
  <c r="C25" i="2"/>
  <c r="D25" i="2" s="1"/>
  <c r="E25" i="2" s="1"/>
  <c r="B25" i="2"/>
  <c r="K24" i="2"/>
  <c r="J24" i="2"/>
  <c r="C24" i="2" s="1"/>
  <c r="D24" i="2" s="1"/>
  <c r="E24" i="2" s="1"/>
  <c r="I24" i="2"/>
  <c r="H24" i="2"/>
  <c r="G24" i="2"/>
  <c r="F24" i="2"/>
  <c r="B24" i="2"/>
  <c r="K23" i="2"/>
  <c r="J23" i="2"/>
  <c r="I23" i="2"/>
  <c r="H23" i="2"/>
  <c r="C23" i="2" s="1"/>
  <c r="D23" i="2" s="1"/>
  <c r="E23" i="2" s="1"/>
  <c r="G23" i="2"/>
  <c r="F23" i="2"/>
  <c r="B23" i="2"/>
  <c r="K22" i="2"/>
  <c r="J22" i="2"/>
  <c r="I22" i="2"/>
  <c r="H22" i="2"/>
  <c r="G22" i="2"/>
  <c r="F22" i="2"/>
  <c r="C22" i="2" s="1"/>
  <c r="D22" i="2" s="1"/>
  <c r="E22" i="2" s="1"/>
  <c r="B22" i="2"/>
  <c r="K21" i="2"/>
  <c r="J21" i="2"/>
  <c r="I21" i="2"/>
  <c r="H21" i="2"/>
  <c r="G21" i="2"/>
  <c r="F21" i="2"/>
  <c r="C21" i="2" s="1"/>
  <c r="D21" i="2" s="1"/>
  <c r="E21" i="2" s="1"/>
  <c r="B21" i="2"/>
  <c r="K20" i="2"/>
  <c r="J20" i="2"/>
  <c r="I20" i="2"/>
  <c r="H20" i="2"/>
  <c r="G20" i="2"/>
  <c r="F20" i="2"/>
  <c r="C20" i="2"/>
  <c r="B20" i="2"/>
  <c r="K19" i="2"/>
  <c r="J19" i="2"/>
  <c r="I19" i="2"/>
  <c r="H19" i="2"/>
  <c r="G19" i="2"/>
  <c r="F19" i="2"/>
  <c r="B19" i="2"/>
  <c r="K18" i="2"/>
  <c r="J18" i="2"/>
  <c r="C18" i="2" s="1"/>
  <c r="D18" i="2" s="1"/>
  <c r="E18" i="2" s="1"/>
  <c r="I18" i="2"/>
  <c r="H18" i="2"/>
  <c r="G18" i="2"/>
  <c r="F18" i="2"/>
  <c r="B18" i="2"/>
  <c r="K17" i="2"/>
  <c r="J17" i="2"/>
  <c r="I17" i="2"/>
  <c r="H17" i="2"/>
  <c r="C17" i="2" s="1"/>
  <c r="G17" i="2"/>
  <c r="F17" i="2"/>
  <c r="B17" i="2"/>
  <c r="K16" i="2"/>
  <c r="J16" i="2"/>
  <c r="I16" i="2"/>
  <c r="I42" i="2" s="1"/>
  <c r="H16" i="2"/>
  <c r="G16" i="2"/>
  <c r="F16" i="2"/>
  <c r="B16" i="2"/>
  <c r="B13" i="2"/>
  <c r="B9" i="2"/>
  <c r="K99" i="2" l="1"/>
  <c r="B88" i="2"/>
  <c r="B99" i="2" s="1"/>
  <c r="B101" i="2" s="1"/>
  <c r="D87" i="2"/>
  <c r="E87" i="2" s="1"/>
  <c r="G100" i="2"/>
  <c r="F103" i="2"/>
  <c r="C19" i="2"/>
  <c r="D19" i="2" s="1"/>
  <c r="E19" i="2" s="1"/>
  <c r="G101" i="2"/>
  <c r="D45" i="2"/>
  <c r="E45" i="2" s="1"/>
  <c r="C46" i="2"/>
  <c r="D46" i="2" s="1"/>
  <c r="E46" i="2" s="1"/>
  <c r="D47" i="2"/>
  <c r="E47" i="2" s="1"/>
  <c r="C70" i="2"/>
  <c r="H99" i="2"/>
  <c r="I88" i="2"/>
  <c r="I99" i="2" s="1"/>
  <c r="D17" i="2"/>
  <c r="E17" i="2" s="1"/>
  <c r="C29" i="2"/>
  <c r="D29" i="2" s="1"/>
  <c r="E29" i="2" s="1"/>
  <c r="D30" i="2"/>
  <c r="E30" i="2" s="1"/>
  <c r="D56" i="2"/>
  <c r="E56" i="2" s="1"/>
  <c r="D61" i="2"/>
  <c r="E61" i="2" s="1"/>
  <c r="C68" i="2"/>
  <c r="D68" i="2" s="1"/>
  <c r="E68" i="2" s="1"/>
  <c r="D63" i="2"/>
  <c r="E63" i="2" s="1"/>
  <c r="C33" i="2"/>
  <c r="D33" i="2" s="1"/>
  <c r="E33" i="2" s="1"/>
  <c r="D34" i="2"/>
  <c r="E34" i="2" s="1"/>
  <c r="K88" i="2"/>
  <c r="J99" i="2"/>
  <c r="D19" i="4"/>
  <c r="E19" i="4" s="1"/>
  <c r="C16" i="4"/>
  <c r="D42" i="5"/>
  <c r="E42" i="5" s="1"/>
  <c r="C99" i="5"/>
  <c r="C101" i="5" s="1"/>
  <c r="C87" i="3"/>
  <c r="D87" i="3" s="1"/>
  <c r="E87" i="3" s="1"/>
  <c r="D84" i="3"/>
  <c r="E84" i="3" s="1"/>
  <c r="D20" i="2"/>
  <c r="E20" i="2" s="1"/>
  <c r="J68" i="2"/>
  <c r="J88" i="2" s="1"/>
  <c r="D45" i="3"/>
  <c r="E45" i="3" s="1"/>
  <c r="D70" i="3"/>
  <c r="E70" i="3" s="1"/>
  <c r="C82" i="3"/>
  <c r="D82" i="3" s="1"/>
  <c r="E82" i="3" s="1"/>
  <c r="H100" i="4"/>
  <c r="H101" i="4" s="1"/>
  <c r="G103" i="4"/>
  <c r="D71" i="2"/>
  <c r="E71" i="2" s="1"/>
  <c r="D84" i="2"/>
  <c r="E84" i="2" s="1"/>
  <c r="C91" i="2"/>
  <c r="G103" i="3"/>
  <c r="H100" i="3"/>
  <c r="D46" i="4"/>
  <c r="E46" i="4" s="1"/>
  <c r="C88" i="4"/>
  <c r="D88" i="4" s="1"/>
  <c r="E88" i="4" s="1"/>
  <c r="H101" i="3"/>
  <c r="D16" i="3"/>
  <c r="E16" i="3" s="1"/>
  <c r="C42" i="3"/>
  <c r="J100" i="6"/>
  <c r="J101" i="6" s="1"/>
  <c r="I103" i="6"/>
  <c r="I100" i="5"/>
  <c r="I101" i="5" s="1"/>
  <c r="H103" i="5"/>
  <c r="D91" i="3"/>
  <c r="E91" i="3" s="1"/>
  <c r="C98" i="3"/>
  <c r="D98" i="3" s="1"/>
  <c r="E98" i="3" s="1"/>
  <c r="D91" i="2" l="1"/>
  <c r="E91" i="2" s="1"/>
  <c r="C98" i="2"/>
  <c r="D98" i="2" s="1"/>
  <c r="E98" i="2" s="1"/>
  <c r="J100" i="5"/>
  <c r="J101" i="5" s="1"/>
  <c r="I103" i="5"/>
  <c r="K100" i="6"/>
  <c r="K101" i="6" s="1"/>
  <c r="K103" i="6" s="1"/>
  <c r="J103" i="6"/>
  <c r="D42" i="3"/>
  <c r="E42" i="3" s="1"/>
  <c r="C99" i="3"/>
  <c r="C101" i="3" s="1"/>
  <c r="H103" i="4"/>
  <c r="I100" i="4"/>
  <c r="I101" i="4" s="1"/>
  <c r="G103" i="2"/>
  <c r="H100" i="2"/>
  <c r="H103" i="3"/>
  <c r="I100" i="3"/>
  <c r="I101" i="3" s="1"/>
  <c r="D16" i="4"/>
  <c r="E16" i="4" s="1"/>
  <c r="C42" i="4"/>
  <c r="C16" i="2"/>
  <c r="C88" i="3"/>
  <c r="D88" i="3" s="1"/>
  <c r="E88" i="3" s="1"/>
  <c r="H101" i="2"/>
  <c r="D70" i="2"/>
  <c r="E70" i="2" s="1"/>
  <c r="C82" i="2"/>
  <c r="D82" i="2" s="1"/>
  <c r="E82" i="2" s="1"/>
  <c r="I103" i="4" l="1"/>
  <c r="J100" i="4"/>
  <c r="J101" i="4" s="1"/>
  <c r="H103" i="2"/>
  <c r="I100" i="2"/>
  <c r="I101" i="2" s="1"/>
  <c r="D16" i="2"/>
  <c r="E16" i="2" s="1"/>
  <c r="C42" i="2"/>
  <c r="C88" i="2"/>
  <c r="D88" i="2" s="1"/>
  <c r="E88" i="2" s="1"/>
  <c r="D42" i="4"/>
  <c r="E42" i="4" s="1"/>
  <c r="C99" i="4"/>
  <c r="C101" i="4" s="1"/>
  <c r="J100" i="3"/>
  <c r="J101" i="3" s="1"/>
  <c r="I103" i="3"/>
  <c r="K100" i="5"/>
  <c r="K101" i="5" s="1"/>
  <c r="K103" i="5" s="1"/>
  <c r="J103" i="5"/>
  <c r="J103" i="3" l="1"/>
  <c r="K100" i="3"/>
  <c r="K101" i="3" s="1"/>
  <c r="K103" i="3" s="1"/>
  <c r="D42" i="2"/>
  <c r="E42" i="2" s="1"/>
  <c r="C99" i="2"/>
  <c r="C101" i="2" s="1"/>
  <c r="I103" i="2"/>
  <c r="J100" i="2"/>
  <c r="J101" i="2" s="1"/>
  <c r="J103" i="4"/>
  <c r="K100" i="4"/>
  <c r="K101" i="4" s="1"/>
  <c r="K103" i="4" s="1"/>
  <c r="J103" i="2" l="1"/>
  <c r="K100" i="2"/>
  <c r="K101" i="2" s="1"/>
  <c r="K103" i="2" s="1"/>
</calcChain>
</file>

<file path=xl/sharedStrings.xml><?xml version="1.0" encoding="utf-8"?>
<sst xmlns="http://schemas.openxmlformats.org/spreadsheetml/2006/main" count="1906" uniqueCount="95">
  <si>
    <r>
      <rPr>
        <sz val="8"/>
        <color rgb="FF31484C"/>
        <rFont val="Segoe UI"/>
        <family val="2"/>
      </rPr>
      <t xml:space="preserve">Republic of the Philippines
</t>
    </r>
  </si>
  <si>
    <r>
      <rPr>
        <sz val="8"/>
        <color rgb="FF31484C"/>
        <rFont val="Segoe UI"/>
        <family val="2"/>
      </rPr>
      <t xml:space="preserve">National Electrification Administration
</t>
    </r>
  </si>
  <si>
    <t>Budget Performance</t>
  </si>
  <si>
    <t>Account Name</t>
  </si>
  <si>
    <t>Approved Budget for the Year</t>
  </si>
  <si>
    <t xml:space="preserve"> To Date </t>
  </si>
  <si>
    <t xml:space="preserve"> Budget Balance </t>
  </si>
  <si>
    <t>Budget Balance (%)</t>
  </si>
  <si>
    <t>JANUARY</t>
  </si>
  <si>
    <t>FEBRUARY</t>
  </si>
  <si>
    <t>MARCH</t>
  </si>
  <si>
    <t>APRIL</t>
  </si>
  <si>
    <t>MAY</t>
  </si>
  <si>
    <t>JUNE</t>
  </si>
  <si>
    <r>
      <rPr>
        <b/>
        <sz val="8"/>
        <color rgb="FF000000"/>
        <rFont val="Segoe UI"/>
        <family val="2"/>
      </rPr>
      <t>INTERNAL CASH GENERATION</t>
    </r>
  </si>
  <si>
    <t/>
  </si>
  <si>
    <r>
      <rPr>
        <sz val="8"/>
        <color rgb="FF000000"/>
        <rFont val="Segoe UI"/>
        <family val="2"/>
      </rPr>
      <t>1. Collection from Consumer A/R</t>
    </r>
  </si>
  <si>
    <r>
      <rPr>
        <sz val="8"/>
        <color rgb="FF000000"/>
        <rFont val="Segoe UI"/>
        <family val="2"/>
      </rPr>
      <t>1.a. From Power Bills</t>
    </r>
  </si>
  <si>
    <r>
      <rPr>
        <sz val="8"/>
        <color rgb="FF000000"/>
        <rFont val="Segoe UI"/>
        <family val="2"/>
      </rPr>
      <t>1.b. From RFSC</t>
    </r>
  </si>
  <si>
    <r>
      <rPr>
        <sz val="8"/>
        <color rgb="FF000000"/>
        <rFont val="Segoe UI"/>
        <family val="2"/>
      </rPr>
      <t>1.c. From Universal Charge</t>
    </r>
  </si>
  <si>
    <r>
      <rPr>
        <sz val="8"/>
        <color rgb="FF000000"/>
        <rFont val="Segoe UI"/>
        <family val="2"/>
      </rPr>
      <t>1.c.1 Missionary Electrification</t>
    </r>
  </si>
  <si>
    <r>
      <rPr>
        <sz val="8"/>
        <color rgb="FF000000"/>
        <rFont val="Segoe UI"/>
        <family val="2"/>
      </rPr>
      <t>1.c.2 RE Developers Cash Incentives</t>
    </r>
  </si>
  <si>
    <r>
      <rPr>
        <sz val="8"/>
        <color rgb="FF000000"/>
        <rFont val="Segoe UI"/>
        <family val="2"/>
      </rPr>
      <t>1.c.3 Environmental Charge</t>
    </r>
  </si>
  <si>
    <r>
      <rPr>
        <sz val="8"/>
        <color rgb="FF000000"/>
        <rFont val="Segoe UI"/>
        <family val="2"/>
      </rPr>
      <t>1.c.4 NPC Stranded Contract Costs</t>
    </r>
  </si>
  <si>
    <r>
      <rPr>
        <sz val="8"/>
        <color rgb="FF000000"/>
        <rFont val="Segoe UI"/>
        <family val="2"/>
      </rPr>
      <t>1.c.5 NPC Stranded Debt</t>
    </r>
  </si>
  <si>
    <r>
      <rPr>
        <sz val="8"/>
        <color rgb="FF000000"/>
        <rFont val="Segoe UI"/>
        <family val="2"/>
      </rPr>
      <t>1.c.6 Others</t>
    </r>
  </si>
  <si>
    <r>
      <rPr>
        <sz val="8"/>
        <color rgb="FF000000"/>
        <rFont val="Segoe UI"/>
        <family val="2"/>
      </rPr>
      <t>1.d. From FIT ALL</t>
    </r>
  </si>
  <si>
    <t>1.d. From VAT</t>
  </si>
  <si>
    <t>1.e. Other Taxes</t>
  </si>
  <si>
    <r>
      <rPr>
        <sz val="8"/>
        <color rgb="FF000000"/>
        <rFont val="Segoe UI"/>
        <family val="2"/>
      </rPr>
      <t>2. Other Revenue</t>
    </r>
  </si>
  <si>
    <r>
      <rPr>
        <sz val="8"/>
        <color rgb="FF000000"/>
        <rFont val="Segoe UI"/>
        <family val="2"/>
      </rPr>
      <t>2.a. Reconnection &amp; Other Fees</t>
    </r>
  </si>
  <si>
    <r>
      <rPr>
        <sz val="8"/>
        <color rgb="FF000000"/>
        <rFont val="Segoe UI"/>
        <family val="2"/>
      </rPr>
      <t>2.b. Interest Income</t>
    </r>
  </si>
  <si>
    <r>
      <rPr>
        <sz val="8"/>
        <color rgb="FF000000"/>
        <rFont val="Segoe UI"/>
        <family val="2"/>
      </rPr>
      <t>2.c. Others</t>
    </r>
  </si>
  <si>
    <r>
      <rPr>
        <sz val="8"/>
        <color rgb="FF000000"/>
        <rFont val="Segoe UI"/>
        <family val="2"/>
      </rPr>
      <t>3. Loans</t>
    </r>
  </si>
  <si>
    <r>
      <rPr>
        <sz val="8"/>
        <color rgb="FF000000"/>
        <rFont val="Segoe UI"/>
        <family val="2"/>
      </rPr>
      <t>3.a. Loans from NEA</t>
    </r>
  </si>
  <si>
    <r>
      <rPr>
        <sz val="8"/>
        <color rgb="FF000000"/>
        <rFont val="Segoe UI"/>
        <family val="2"/>
      </rPr>
      <t>3.b. Loans from Banks</t>
    </r>
  </si>
  <si>
    <t>3.b Loans from Other Financial Institutions</t>
  </si>
  <si>
    <r>
      <rPr>
        <sz val="8"/>
        <color rgb="FF000000"/>
        <rFont val="Segoe UI"/>
        <family val="2"/>
      </rPr>
      <t>3.d. Loans from Other Sources</t>
    </r>
  </si>
  <si>
    <r>
      <rPr>
        <sz val="8"/>
        <color rgb="FF000000"/>
        <rFont val="Segoe UI"/>
        <family val="2"/>
      </rPr>
      <t>4. Subsidy</t>
    </r>
  </si>
  <si>
    <r>
      <rPr>
        <sz val="8"/>
        <color rgb="FF000000"/>
        <rFont val="Segoe UI"/>
        <family val="2"/>
      </rPr>
      <t>5. Proceeds from CDA Share Capital</t>
    </r>
  </si>
  <si>
    <t>5. Transfer of Funds</t>
  </si>
  <si>
    <t>6. Other Receipts</t>
  </si>
  <si>
    <r>
      <rPr>
        <b/>
        <sz val="8"/>
        <color rgb="FF000000"/>
        <rFont val="Segoe UI"/>
        <family val="2"/>
      </rPr>
      <t>TOTAL CASH INFLOW</t>
    </r>
  </si>
  <si>
    <r>
      <rPr>
        <b/>
        <sz val="8"/>
        <color rgb="FF000000"/>
        <rFont val="Segoe UI"/>
        <family val="2"/>
      </rPr>
      <t>CASH FOR OPERATIONS</t>
    </r>
  </si>
  <si>
    <r>
      <rPr>
        <sz val="8"/>
        <color rgb="FF000000"/>
        <rFont val="Segoe UI"/>
        <family val="2"/>
      </rPr>
      <t>1. Cost of Power</t>
    </r>
  </si>
  <si>
    <r>
      <rPr>
        <sz val="8"/>
        <color rgb="FF000000"/>
        <rFont val="Segoe UI"/>
        <family val="2"/>
      </rPr>
      <t>2. Non-Power Cost</t>
    </r>
  </si>
  <si>
    <r>
      <rPr>
        <sz val="8"/>
        <color rgb="FF000000"/>
        <rFont val="Segoe UI"/>
        <family val="2"/>
      </rPr>
      <t>2.a. Salaries &amp; Wages</t>
    </r>
  </si>
  <si>
    <r>
      <rPr>
        <sz val="8"/>
        <color rgb="FF000000"/>
        <rFont val="Segoe UI"/>
        <family val="2"/>
      </rPr>
      <t>2.b. SSS/PHIC/ECC/HDMF</t>
    </r>
  </si>
  <si>
    <r>
      <rPr>
        <sz val="8"/>
        <color rgb="FF000000"/>
        <rFont val="Segoe UI"/>
        <family val="2"/>
      </rPr>
      <t>2.c. Employee Benefits</t>
    </r>
  </si>
  <si>
    <r>
      <rPr>
        <sz val="8"/>
        <color rgb="FF000000"/>
        <rFont val="Segoe UI"/>
        <family val="2"/>
      </rPr>
      <t>2.d. Utilities</t>
    </r>
  </si>
  <si>
    <r>
      <rPr>
        <sz val="8"/>
        <color rgb="FF000000"/>
        <rFont val="Segoe UI"/>
        <family val="2"/>
      </rPr>
      <t>2.e. Office Materials &amp; Supplies</t>
    </r>
  </si>
  <si>
    <r>
      <rPr>
        <sz val="8"/>
        <color rgb="FF000000"/>
        <rFont val="Segoe UI"/>
        <family val="2"/>
      </rPr>
      <t>2.f. Travel</t>
    </r>
  </si>
  <si>
    <r>
      <rPr>
        <sz val="8"/>
        <color rgb="FF000000"/>
        <rFont val="Segoe UI"/>
        <family val="2"/>
      </rPr>
      <t>2.g. Transportation</t>
    </r>
  </si>
  <si>
    <r>
      <rPr>
        <sz val="8"/>
        <color rgb="FF000000"/>
        <rFont val="Segoe UI"/>
        <family val="2"/>
      </rPr>
      <t>2.h. Repairs &amp; Maintenance</t>
    </r>
  </si>
  <si>
    <r>
      <rPr>
        <sz val="8"/>
        <color rgb="FF000000"/>
        <rFont val="Segoe UI"/>
        <family val="2"/>
      </rPr>
      <t>2.i. Directors' Per Diems</t>
    </r>
  </si>
  <si>
    <r>
      <rPr>
        <sz val="8"/>
        <color rgb="FF000000"/>
        <rFont val="Segoe UI"/>
        <family val="2"/>
      </rPr>
      <t>2.j. Allowances/Representation</t>
    </r>
  </si>
  <si>
    <r>
      <rPr>
        <sz val="8"/>
        <color rgb="FF000000"/>
        <rFont val="Segoe UI"/>
        <family val="2"/>
      </rPr>
      <t>2.k. Outside Professional Services</t>
    </r>
  </si>
  <si>
    <r>
      <rPr>
        <sz val="8"/>
        <color rgb="FF000000"/>
        <rFont val="Segoe UI"/>
        <family val="2"/>
      </rPr>
      <t>2.l. Seminars/Trainings</t>
    </r>
  </si>
  <si>
    <r>
      <rPr>
        <sz val="8"/>
        <color rgb="FF000000"/>
        <rFont val="Segoe UI"/>
        <family val="2"/>
      </rPr>
      <t>2.m. Institutional Activities</t>
    </r>
  </si>
  <si>
    <r>
      <rPr>
        <sz val="8"/>
        <color rgb="FF000000"/>
        <rFont val="Segoe UI"/>
        <family val="2"/>
      </rPr>
      <t>2.n. Insurance/Registration</t>
    </r>
  </si>
  <si>
    <r>
      <rPr>
        <sz val="8"/>
        <color rgb="FF000000"/>
        <rFont val="Segoe UI"/>
        <family val="2"/>
      </rPr>
      <t>2.o. Sundries</t>
    </r>
  </si>
  <si>
    <r>
      <rPr>
        <b/>
        <sz val="8"/>
        <color rgb="FF000000"/>
        <rFont val="Segoe UI"/>
        <family val="2"/>
      </rPr>
      <t>CASH FOR DEBT SERVICE</t>
    </r>
  </si>
  <si>
    <r>
      <rPr>
        <sz val="8"/>
        <color rgb="FF000000"/>
        <rFont val="Segoe UI"/>
        <family val="2"/>
      </rPr>
      <t>1. NEA</t>
    </r>
  </si>
  <si>
    <r>
      <rPr>
        <sz val="8"/>
        <color rgb="FF000000"/>
        <rFont val="Segoe UI"/>
        <family val="2"/>
      </rPr>
      <t>2. Banks</t>
    </r>
  </si>
  <si>
    <r>
      <rPr>
        <sz val="8"/>
        <color rgb="FF000000"/>
        <rFont val="Segoe UI"/>
        <family val="2"/>
      </rPr>
      <t>3. Other Financial Institutions</t>
    </r>
  </si>
  <si>
    <r>
      <rPr>
        <sz val="8"/>
        <color rgb="FF000000"/>
        <rFont val="Segoe UI"/>
        <family val="2"/>
      </rPr>
      <t>4. Power Suppliers</t>
    </r>
  </si>
  <si>
    <r>
      <rPr>
        <sz val="8"/>
        <color rgb="FF000000"/>
        <rFont val="Segoe UI"/>
        <family val="2"/>
      </rPr>
      <t>5. Accounts Payable - Others</t>
    </r>
  </si>
  <si>
    <r>
      <rPr>
        <b/>
        <sz val="8"/>
        <color rgb="FF000000"/>
        <rFont val="Segoe UI"/>
        <family val="2"/>
      </rPr>
      <t>Total Cash for Debt Service</t>
    </r>
  </si>
  <si>
    <r>
      <rPr>
        <b/>
        <sz val="8"/>
        <color rgb="FF000000"/>
        <rFont val="Segoe UI"/>
        <family val="2"/>
      </rPr>
      <t>CASH FOR OTHER USES</t>
    </r>
  </si>
  <si>
    <r>
      <rPr>
        <sz val="8"/>
        <color rgb="FF000000"/>
        <rFont val="Segoe UI"/>
        <family val="2"/>
      </rPr>
      <t>1. Universal Charge</t>
    </r>
  </si>
  <si>
    <r>
      <rPr>
        <sz val="8"/>
        <color rgb="FF000000"/>
        <rFont val="Segoe UI"/>
        <family val="2"/>
      </rPr>
      <t>1.c.4 Stranded Contract Costs</t>
    </r>
  </si>
  <si>
    <r>
      <rPr>
        <sz val="8"/>
        <color rgb="FF000000"/>
        <rFont val="Segoe UI"/>
        <family val="2"/>
      </rPr>
      <t>2. FIT ALL</t>
    </r>
  </si>
  <si>
    <t>2. VAT</t>
  </si>
  <si>
    <t>3. Other Taxes</t>
  </si>
  <si>
    <t>4. Refunds</t>
  </si>
  <si>
    <t>5. Others</t>
  </si>
  <si>
    <r>
      <rPr>
        <b/>
        <sz val="8"/>
        <color rgb="FF000000"/>
        <rFont val="Segoe UI"/>
        <family val="2"/>
      </rPr>
      <t>Total Cash for Other Uses</t>
    </r>
  </si>
  <si>
    <r>
      <rPr>
        <b/>
        <sz val="8"/>
        <color rgb="FF000000"/>
        <rFont val="Segoe UI"/>
        <family val="2"/>
      </rPr>
      <t>CASH FOR CAPITAL EXPENDITURES</t>
    </r>
  </si>
  <si>
    <r>
      <rPr>
        <sz val="8"/>
        <color rgb="FF000000"/>
        <rFont val="Segoe UI"/>
        <family val="2"/>
      </rPr>
      <t>1. Network Assets (Subsidy)</t>
    </r>
  </si>
  <si>
    <r>
      <rPr>
        <sz val="8"/>
        <color rgb="FF000000"/>
        <rFont val="Segoe UI"/>
        <family val="2"/>
      </rPr>
      <t>2. Network Assets</t>
    </r>
  </si>
  <si>
    <r>
      <rPr>
        <sz val="8"/>
        <color rgb="FF000000"/>
        <rFont val="Segoe UI"/>
        <family val="2"/>
      </rPr>
      <t>3. Non-Network Assets</t>
    </r>
  </si>
  <si>
    <r>
      <rPr>
        <b/>
        <sz val="8"/>
        <color rgb="FF000000"/>
        <rFont val="Segoe UI"/>
        <family val="2"/>
      </rPr>
      <t>Total Cash for Capital Expenditures</t>
    </r>
  </si>
  <si>
    <r>
      <rPr>
        <b/>
        <sz val="8"/>
        <color rgb="FF000000"/>
        <rFont val="Segoe UI"/>
        <family val="2"/>
      </rPr>
      <t>TOTAL CASH OUTFLOW</t>
    </r>
  </si>
  <si>
    <r>
      <rPr>
        <b/>
        <sz val="8"/>
        <color rgb="FF000000"/>
        <rFont val="Segoe UI"/>
        <family val="2"/>
      </rPr>
      <t>CASH FOR SINKING FUNDS</t>
    </r>
  </si>
  <si>
    <r>
      <rPr>
        <sz val="8"/>
        <color rgb="FF000000"/>
        <rFont val="Segoe UI"/>
        <family val="2"/>
      </rPr>
      <t>1. RFSC</t>
    </r>
  </si>
  <si>
    <r>
      <rPr>
        <sz val="8"/>
        <color rgb="FF000000"/>
        <rFont val="Segoe UI"/>
        <family val="2"/>
      </rPr>
      <t>2. Security Deposit</t>
    </r>
  </si>
  <si>
    <t>2. Separation/ Retirement</t>
  </si>
  <si>
    <r>
      <rPr>
        <sz val="8"/>
        <color rgb="FF000000"/>
        <rFont val="Segoe UI"/>
        <family val="2"/>
      </rPr>
      <t>4. Investment in Asso. Organization</t>
    </r>
  </si>
  <si>
    <r>
      <rPr>
        <sz val="8"/>
        <color rgb="FF000000"/>
        <rFont val="Segoe UI"/>
        <family val="2"/>
      </rPr>
      <t>5. Extraordinary Losses</t>
    </r>
  </si>
  <si>
    <r>
      <rPr>
        <sz val="8"/>
        <color rgb="FF000000"/>
        <rFont val="Segoe UI"/>
        <family val="2"/>
      </rPr>
      <t>6. Subsidy Fund</t>
    </r>
  </si>
  <si>
    <r>
      <rPr>
        <sz val="8"/>
        <color rgb="FF000000"/>
        <rFont val="Segoe UI"/>
        <family val="2"/>
      </rPr>
      <t>7. Others</t>
    </r>
  </si>
  <si>
    <r>
      <rPr>
        <b/>
        <sz val="8"/>
        <color rgb="FF000000"/>
        <rFont val="Segoe UI"/>
        <family val="2"/>
      </rPr>
      <t>Total Cash for Sinking Funds</t>
    </r>
  </si>
  <si>
    <r>
      <rPr>
        <b/>
        <sz val="8"/>
        <color rgb="FF000000"/>
        <rFont val="Segoe UI"/>
        <family val="2"/>
      </rPr>
      <t>CASH AFTER SINKING FUNDS</t>
    </r>
  </si>
  <si>
    <r>
      <rPr>
        <sz val="8"/>
        <color rgb="FF000000"/>
        <rFont val="Segoe UI"/>
        <family val="2"/>
      </rPr>
      <t>Add: Cash Balance, Beginning</t>
    </r>
  </si>
  <si>
    <r>
      <rPr>
        <b/>
        <sz val="8"/>
        <color rgb="FF000000"/>
        <rFont val="Segoe UI"/>
        <family val="2"/>
      </rPr>
      <t>CASH BALANCE, 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</si>
</sst>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(#,##0.00\)"/>
    <numFmt numFmtId="165" formatCode="[$-10409]0.00;\(0.00\)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EEE8AA"/>
        <bgColor rgb="FFEEE8AA"/>
      </patternFill>
    </fill>
    <fill>
      <patternFill patternType="solid">
        <fgColor rgb="FFF2EEBF"/>
        <bgColor rgb="FFF2EEBF"/>
      </patternFill>
    </fill>
    <fill>
      <patternFill patternType="solid">
        <fgColor rgb="FFE6DD80"/>
        <bgColor rgb="FFE6DD80"/>
      </patternFill>
    </fill>
    <fill>
      <patternFill patternType="solid">
        <fgColor rgb="FFEAE295"/>
        <bgColor rgb="FFEAE295"/>
      </patternFill>
    </fill>
    <fill>
      <patternFill patternType="solid">
        <fgColor rgb="FFE1D76A"/>
        <bgColor rgb="FFE1D76A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8FBC8B"/>
      </left>
      <right style="thin">
        <color rgb="FFD3D3D3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D3D3D3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Font="1" applyFill="1" applyBorder="1"/>
    <xf numFmtId="17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vertical="center" wrapText="1" readingOrder="1"/>
    </xf>
    <xf numFmtId="0" fontId="9" fillId="0" borderId="3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3" borderId="2" xfId="1" applyNumberFormat="1" applyFont="1" applyFill="1" applyBorder="1" applyAlignment="1">
      <alignment horizontal="left" vertical="center" wrapText="1" indent="2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165" fontId="8" fillId="3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3" readingOrder="1"/>
    </xf>
    <xf numFmtId="164" fontId="9" fillId="0" borderId="2" xfId="1" applyNumberFormat="1" applyFont="1" applyFill="1" applyBorder="1" applyAlignment="1">
      <alignment horizontal="right" vertical="center" wrapText="1" readingOrder="1"/>
    </xf>
    <xf numFmtId="165" fontId="9" fillId="0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left" vertical="center" wrapText="1" indent="3" readingOrder="1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165" fontId="8" fillId="4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5" readingOrder="1"/>
    </xf>
    <xf numFmtId="0" fontId="9" fillId="0" borderId="2" xfId="1" applyNumberFormat="1" applyFont="1" applyFill="1" applyBorder="1" applyAlignment="1">
      <alignment horizontal="left" vertical="center" wrapText="1" indent="2" readingOrder="1"/>
    </xf>
    <xf numFmtId="0" fontId="8" fillId="5" borderId="2" xfId="1" applyNumberFormat="1" applyFont="1" applyFill="1" applyBorder="1" applyAlignment="1">
      <alignment horizontal="left" vertical="center" wrapText="1" readingOrder="1"/>
    </xf>
    <xf numFmtId="166" fontId="8" fillId="5" borderId="2" xfId="2" applyFont="1" applyFill="1" applyBorder="1" applyAlignment="1">
      <alignment horizontal="left" vertical="center" wrapText="1" readingOrder="1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165" fontId="8" fillId="5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left" vertical="center" wrapText="1" readingOrder="1"/>
    </xf>
    <xf numFmtId="164" fontId="8" fillId="6" borderId="2" xfId="1" applyNumberFormat="1" applyFont="1" applyFill="1" applyBorder="1" applyAlignment="1">
      <alignment horizontal="right" vertical="center" wrapText="1" readingOrder="1"/>
    </xf>
    <xf numFmtId="165" fontId="8" fillId="6" borderId="2" xfId="1" applyNumberFormat="1" applyFont="1" applyFill="1" applyBorder="1" applyAlignment="1">
      <alignment horizontal="center" vertical="center" wrapText="1" readingOrder="1"/>
    </xf>
    <xf numFmtId="166" fontId="8" fillId="6" borderId="2" xfId="2" applyFont="1" applyFill="1" applyBorder="1" applyAlignment="1">
      <alignment horizontal="left" vertical="center" wrapText="1" readingOrder="1"/>
    </xf>
    <xf numFmtId="0" fontId="8" fillId="7" borderId="2" xfId="1" applyNumberFormat="1" applyFont="1" applyFill="1" applyBorder="1" applyAlignment="1">
      <alignment horizontal="left" vertical="center" wrapText="1" readingOrder="1"/>
    </xf>
    <xf numFmtId="166" fontId="8" fillId="7" borderId="2" xfId="2" applyFont="1" applyFill="1" applyBorder="1" applyAlignment="1">
      <alignment horizontal="left" vertical="center" wrapText="1" readingOrder="1"/>
    </xf>
    <xf numFmtId="164" fontId="8" fillId="7" borderId="2" xfId="1" applyNumberFormat="1" applyFont="1" applyFill="1" applyBorder="1" applyAlignment="1">
      <alignment horizontal="right" vertical="center" wrapText="1" readingOrder="1"/>
    </xf>
    <xf numFmtId="0" fontId="8" fillId="2" borderId="5" xfId="1" applyNumberFormat="1" applyFont="1" applyFill="1" applyBorder="1" applyAlignment="1">
      <alignment horizontal="right" vertical="center" wrapText="1" readingOrder="1"/>
    </xf>
    <xf numFmtId="0" fontId="8" fillId="2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2" borderId="7" xfId="1" applyNumberFormat="1" applyFont="1" applyFill="1" applyBorder="1" applyAlignment="1">
      <alignment horizontal="right" vertical="center" wrapText="1" readingOrder="1"/>
    </xf>
    <xf numFmtId="0" fontId="9" fillId="2" borderId="8" xfId="1" applyNumberFormat="1" applyFont="1" applyFill="1" applyBorder="1" applyAlignment="1">
      <alignment horizontal="center" vertical="center" wrapText="1" readingOrder="1"/>
    </xf>
    <xf numFmtId="0" fontId="8" fillId="2" borderId="9" xfId="1" applyNumberFormat="1" applyFont="1" applyFill="1" applyBorder="1" applyAlignment="1">
      <alignment horizontal="right" vertical="center" wrapText="1" readingOrder="1"/>
    </xf>
    <xf numFmtId="0" fontId="8" fillId="2" borderId="10" xfId="1" applyNumberFormat="1" applyFont="1" applyFill="1" applyBorder="1" applyAlignment="1">
      <alignment horizontal="center" vertical="center" wrapText="1" readingOrder="1"/>
    </xf>
    <xf numFmtId="39" fontId="2" fillId="0" borderId="0" xfId="1" applyNumberFormat="1" applyFont="1" applyFill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5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AURELCO/AURELCO_2023_JUN_DET%20AC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1/NEECO%20I_2023_MAR_DET%20ACA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1/NEECO%20I_2023_APR_DET%20ACA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1/NEECO%20I_2023_MAY_DET%20AC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2%20(A1)/NEECO%20II%20-%20AREA%201_2023_JUN_DET%20AC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2%20(A1)/NEECO%20II%20-%20AREA%201_2023_JAN_DET%20ACA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2%20(A1)/NEECO%20II%20-%20AREA%201_2023_FEB_DET%20ACA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2%20(A1)/NEECO%20II%20-%20AREA%201_2023_MAR_DET%20AC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2%20(A1)/NEECO%20II%20-%20AREA%201_2023_APR_DET%20AC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2%20(A1)/NEECO%20II%20-%20AREA%201_2023_MAY_DET%20AC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2%20(A2)/NEECO%20II%20-%20AREA%202_2023_JUN_DET%20AC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AURELCO/AURELCO_2023_JAN_DET%20ACA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2%20(A2)/NEECO%20II%20-%20AREA%202_2023_JAN_DET%20AC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2%20(A2)/NEECO%20II%20-%20AREA%202_2023_FEB_DET%20AC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2%20(A2)/NEECO%20II%20-%20AREA%202_2023_MAR_DET%20ACAM%20revised%205.3.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2%20(A2)/NEECO%20II%20-%20AREA%202_2023_APR_DET%20AC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2%20(A2)/NEECO%20II%20-%20AREA%202_2023_MAY_DET%20AC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PELCO%20I/PELCO%20I_2023_JUN_DET%20AC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PELCO%20I/PELCO%20I_2023_JAN_DET%20AC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PELCO%20I/PELCO%20I_2023_FEB_DET%20AC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PELCO%20I/PELCO%20I_2023_MAR_DET%20ACA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PELCO%20I/PELCO%20I_2023_APR_DET%20AC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AURELCO/AURELCO_2023_FEB_DET%20ACA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PELCO%20I/PELCO%20I_2023_MAY_DET%20ACA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PELCO%20II/PELCO%20II_2023_JUN_DET%20ACA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PELCO%20III/PELCO%20III_2023_JUN_DET%20ACA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PENELCO/PENELCO_2023_JUN_DET%20ACA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PRESCO/PRESCO_2023_JUN_DET%20ACA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SAJELCO/SAJELCO_2023_JUN_DET%20ACAM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TARELCO%201/TARELCO%20I_2023_JUN_DET%20ACA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TARELCO%202/TARELCO%20II_2023_JUN_DET%20ACAM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ZAMECO%201/ZAMECO%20I_2023_JUN_DET%20ACA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ZAMECO%202/ZAMECO%20II_2023_JUN_DET%20AC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AURELCO/AURELCO_2023_MAR_DET%20AC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AURELCO/AURELCO_2023_APR_DET%20AC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AURELCO/AURELCO_2023_MAY_DET%20AC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1/NEECO%20I_2023_JUN_DET%20ACA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1/NEECO%20I_2023_JAN_DET%20ACA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3/NEECO%201/NEECO%20I_2023_FEB_DET%20AC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AURELCO</v>
          </cell>
        </row>
        <row r="12">
          <cell r="C12">
            <v>1129839036</v>
          </cell>
          <cell r="D12">
            <v>104760281.40000001</v>
          </cell>
        </row>
        <row r="13">
          <cell r="C13">
            <v>1029759023</v>
          </cell>
          <cell r="D13">
            <v>88746496.620000005</v>
          </cell>
        </row>
        <row r="14">
          <cell r="C14">
            <v>70366780</v>
          </cell>
          <cell r="D14">
            <v>5363422.38</v>
          </cell>
        </row>
        <row r="15">
          <cell r="C15">
            <v>13315833</v>
          </cell>
          <cell r="D15">
            <v>1359216.65</v>
          </cell>
        </row>
        <row r="16">
          <cell r="C16">
            <v>13315833</v>
          </cell>
          <cell r="D16">
            <v>1125991.78</v>
          </cell>
        </row>
        <row r="17">
          <cell r="D17">
            <v>8933.69</v>
          </cell>
        </row>
        <row r="18">
          <cell r="D18">
            <v>5.62</v>
          </cell>
        </row>
        <row r="19">
          <cell r="D19">
            <v>108.49</v>
          </cell>
        </row>
        <row r="20">
          <cell r="D20">
            <v>224177.07</v>
          </cell>
        </row>
        <row r="22">
          <cell r="D22">
            <v>1689.56</v>
          </cell>
        </row>
        <row r="23">
          <cell r="C23">
            <v>16397400</v>
          </cell>
          <cell r="D23">
            <v>9283171.1899999995</v>
          </cell>
        </row>
        <row r="24">
          <cell r="D24">
            <v>6285</v>
          </cell>
        </row>
        <row r="25">
          <cell r="C25">
            <v>36496019</v>
          </cell>
          <cell r="D25">
            <v>1233898.48</v>
          </cell>
        </row>
        <row r="26">
          <cell r="C26">
            <v>6567954</v>
          </cell>
          <cell r="D26">
            <v>700236.55</v>
          </cell>
        </row>
        <row r="28">
          <cell r="C28">
            <v>29928065</v>
          </cell>
          <cell r="D28">
            <v>533661.93000000005</v>
          </cell>
        </row>
        <row r="29">
          <cell r="C29">
            <v>35333175</v>
          </cell>
          <cell r="D29">
            <v>0</v>
          </cell>
        </row>
        <row r="31">
          <cell r="C31">
            <v>35333175</v>
          </cell>
        </row>
        <row r="37">
          <cell r="C37">
            <v>9200358</v>
          </cell>
          <cell r="D37">
            <v>675170.99</v>
          </cell>
        </row>
        <row r="38">
          <cell r="C38">
            <v>1210868588</v>
          </cell>
          <cell r="D38">
            <v>106669350.87</v>
          </cell>
        </row>
        <row r="41">
          <cell r="C41">
            <v>855363106</v>
          </cell>
          <cell r="D41">
            <v>82666422.890000001</v>
          </cell>
        </row>
        <row r="42">
          <cell r="C42">
            <v>131255181</v>
          </cell>
          <cell r="D42">
            <v>6787730.4800000004</v>
          </cell>
        </row>
        <row r="43">
          <cell r="C43">
            <v>65017183</v>
          </cell>
          <cell r="D43">
            <v>3973612.94</v>
          </cell>
        </row>
        <row r="44">
          <cell r="C44">
            <v>6205113</v>
          </cell>
          <cell r="D44">
            <v>497822.68</v>
          </cell>
        </row>
        <row r="45">
          <cell r="C45">
            <v>16017472</v>
          </cell>
          <cell r="D45">
            <v>588717</v>
          </cell>
        </row>
        <row r="46">
          <cell r="C46">
            <v>276000</v>
          </cell>
          <cell r="D46">
            <v>20500</v>
          </cell>
        </row>
        <row r="47">
          <cell r="C47">
            <v>2610773</v>
          </cell>
          <cell r="D47">
            <v>42653</v>
          </cell>
        </row>
        <row r="48">
          <cell r="C48">
            <v>4964800</v>
          </cell>
          <cell r="D48">
            <v>308943.71999999997</v>
          </cell>
        </row>
        <row r="49">
          <cell r="C49">
            <v>6599734</v>
          </cell>
          <cell r="D49">
            <v>401409.06</v>
          </cell>
        </row>
        <row r="50">
          <cell r="C50">
            <v>2290101</v>
          </cell>
          <cell r="D50">
            <v>275516.43</v>
          </cell>
        </row>
        <row r="51">
          <cell r="C51">
            <v>1726800</v>
          </cell>
          <cell r="D51">
            <v>83800</v>
          </cell>
        </row>
        <row r="52">
          <cell r="C52">
            <v>1806000</v>
          </cell>
          <cell r="D52">
            <v>124500</v>
          </cell>
        </row>
        <row r="53">
          <cell r="C53">
            <v>7122398</v>
          </cell>
          <cell r="D53">
            <v>130523.12</v>
          </cell>
        </row>
        <row r="54">
          <cell r="C54">
            <v>2887100</v>
          </cell>
          <cell r="D54">
            <v>15450</v>
          </cell>
        </row>
        <row r="55">
          <cell r="C55">
            <v>12432300</v>
          </cell>
          <cell r="D55">
            <v>280076.93</v>
          </cell>
        </row>
        <row r="56">
          <cell r="C56">
            <v>277731</v>
          </cell>
          <cell r="D56">
            <v>10472.299999999999</v>
          </cell>
        </row>
        <row r="57">
          <cell r="C57">
            <v>1021676</v>
          </cell>
          <cell r="D57">
            <v>33733.300000000003</v>
          </cell>
        </row>
        <row r="60">
          <cell r="C60">
            <v>19140908</v>
          </cell>
        </row>
        <row r="61">
          <cell r="C61">
            <v>37221236</v>
          </cell>
        </row>
        <row r="67">
          <cell r="C67">
            <v>15957249</v>
          </cell>
          <cell r="D67">
            <v>1119545.8</v>
          </cell>
        </row>
        <row r="68">
          <cell r="C68">
            <v>15957249</v>
          </cell>
          <cell r="D68">
            <v>895564.7</v>
          </cell>
        </row>
        <row r="69">
          <cell r="D69">
            <v>8570.44</v>
          </cell>
        </row>
        <row r="70">
          <cell r="D70">
            <v>1.46</v>
          </cell>
        </row>
        <row r="71">
          <cell r="D71">
            <v>40.1</v>
          </cell>
        </row>
        <row r="72">
          <cell r="D72">
            <v>215369.1</v>
          </cell>
        </row>
        <row r="74">
          <cell r="D74">
            <v>4934.6099999999997</v>
          </cell>
        </row>
        <row r="75">
          <cell r="C75">
            <v>16397400</v>
          </cell>
        </row>
        <row r="76">
          <cell r="D76">
            <v>640827.35</v>
          </cell>
        </row>
        <row r="78">
          <cell r="D78">
            <v>131904</v>
          </cell>
        </row>
        <row r="82">
          <cell r="C82">
            <v>39423481</v>
          </cell>
          <cell r="D82">
            <v>2819410.71</v>
          </cell>
        </row>
        <row r="83">
          <cell r="C83">
            <v>38342595</v>
          </cell>
          <cell r="D83">
            <v>140789.29</v>
          </cell>
        </row>
        <row r="88">
          <cell r="C88">
            <v>35267170</v>
          </cell>
          <cell r="D88">
            <v>5940678.7000000002</v>
          </cell>
        </row>
        <row r="90">
          <cell r="C90">
            <v>14475985</v>
          </cell>
          <cell r="D90">
            <v>922021</v>
          </cell>
        </row>
        <row r="97">
          <cell r="C97">
            <v>155208653</v>
          </cell>
        </row>
        <row r="98">
          <cell r="D98">
            <v>166702031.31999999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239871342.06</v>
          </cell>
        </row>
        <row r="13">
          <cell r="D13">
            <v>206353369.43000001</v>
          </cell>
        </row>
        <row r="14">
          <cell r="D14">
            <v>5540490.1799999997</v>
          </cell>
        </row>
        <row r="15">
          <cell r="D15">
            <v>4247857.46</v>
          </cell>
        </row>
        <row r="16">
          <cell r="D16">
            <v>3398129.47</v>
          </cell>
        </row>
        <row r="17">
          <cell r="D17">
            <v>32894.019999999997</v>
          </cell>
        </row>
        <row r="18">
          <cell r="D18">
            <v>9.17</v>
          </cell>
        </row>
        <row r="19">
          <cell r="D19">
            <v>298.14</v>
          </cell>
        </row>
        <row r="20">
          <cell r="D20">
            <v>816526.66</v>
          </cell>
        </row>
        <row r="22">
          <cell r="D22">
            <v>34402.160000000003</v>
          </cell>
        </row>
        <row r="23">
          <cell r="D23">
            <v>23695112.940000001</v>
          </cell>
        </row>
        <row r="24">
          <cell r="D24">
            <v>109.89</v>
          </cell>
        </row>
        <row r="25">
          <cell r="D25">
            <v>14597785.869999999</v>
          </cell>
        </row>
        <row r="26">
          <cell r="D26">
            <v>14597785.869999999</v>
          </cell>
        </row>
        <row r="29">
          <cell r="D29">
            <v>0</v>
          </cell>
        </row>
        <row r="31">
          <cell r="D31">
            <v>0</v>
          </cell>
        </row>
        <row r="34">
          <cell r="D34">
            <v>0</v>
          </cell>
        </row>
        <row r="36">
          <cell r="D36">
            <v>0</v>
          </cell>
        </row>
        <row r="38">
          <cell r="D38">
            <v>254469127.93000001</v>
          </cell>
        </row>
        <row r="41">
          <cell r="D41">
            <v>169967592.69</v>
          </cell>
        </row>
        <row r="42">
          <cell r="D42">
            <v>18428467.43</v>
          </cell>
        </row>
        <row r="43">
          <cell r="D43">
            <v>8851396.7599999998</v>
          </cell>
        </row>
        <row r="44">
          <cell r="D44">
            <v>1516897.88</v>
          </cell>
        </row>
        <row r="45">
          <cell r="D45">
            <v>2687467.96</v>
          </cell>
        </row>
        <row r="46">
          <cell r="D46">
            <v>80180.17</v>
          </cell>
        </row>
        <row r="47">
          <cell r="D47">
            <v>232250.84</v>
          </cell>
        </row>
        <row r="48">
          <cell r="D48">
            <v>58030</v>
          </cell>
        </row>
        <row r="49">
          <cell r="D49">
            <v>528714.61</v>
          </cell>
        </row>
        <row r="50">
          <cell r="D50">
            <v>562299.44999999995</v>
          </cell>
        </row>
        <row r="51">
          <cell r="D51">
            <v>99000</v>
          </cell>
        </row>
        <row r="52">
          <cell r="D52">
            <v>206700</v>
          </cell>
        </row>
        <row r="53">
          <cell r="D53">
            <v>2263854.15</v>
          </cell>
        </row>
        <row r="54">
          <cell r="D54">
            <v>494829</v>
          </cell>
        </row>
        <row r="55">
          <cell r="D55">
            <v>500727.73</v>
          </cell>
        </row>
        <row r="56">
          <cell r="D56">
            <v>180440.07</v>
          </cell>
        </row>
        <row r="57">
          <cell r="D57">
            <v>165678.81</v>
          </cell>
        </row>
        <row r="61">
          <cell r="D61">
            <v>0</v>
          </cell>
        </row>
        <row r="64">
          <cell r="D64">
            <v>0</v>
          </cell>
        </row>
        <row r="67">
          <cell r="D67">
            <v>4401649.7300000004</v>
          </cell>
        </row>
        <row r="68">
          <cell r="D68">
            <v>3522505.15</v>
          </cell>
        </row>
        <row r="69">
          <cell r="D69">
            <v>33585.300000000003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845559.28</v>
          </cell>
        </row>
        <row r="74">
          <cell r="D74">
            <v>75900.639999999999</v>
          </cell>
        </row>
        <row r="75">
          <cell r="D75">
            <v>19803240.940000001</v>
          </cell>
        </row>
        <row r="76">
          <cell r="D76">
            <v>0</v>
          </cell>
        </row>
        <row r="77">
          <cell r="D77">
            <v>260695.85</v>
          </cell>
        </row>
        <row r="81">
          <cell r="D81">
            <v>0</v>
          </cell>
        </row>
        <row r="82">
          <cell r="D82">
            <v>930659.68</v>
          </cell>
        </row>
        <row r="83">
          <cell r="D83">
            <v>335462.75</v>
          </cell>
        </row>
        <row r="88">
          <cell r="D88">
            <v>0</v>
          </cell>
        </row>
        <row r="90">
          <cell r="D90">
            <v>1000000</v>
          </cell>
        </row>
        <row r="94">
          <cell r="D94">
            <v>-53995.27</v>
          </cell>
        </row>
        <row r="98">
          <cell r="D98">
            <v>458436657.60000002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228767301.68000001</v>
          </cell>
        </row>
        <row r="13">
          <cell r="D13">
            <v>197486612.22</v>
          </cell>
        </row>
        <row r="14">
          <cell r="D14">
            <v>5042860.45</v>
          </cell>
        </row>
        <row r="15">
          <cell r="D15">
            <v>3867772.22</v>
          </cell>
        </row>
        <row r="16">
          <cell r="D16">
            <v>3094721.9</v>
          </cell>
        </row>
        <row r="17">
          <cell r="D17">
            <v>29767.279999999999</v>
          </cell>
        </row>
        <row r="18">
          <cell r="D18">
            <v>4.07</v>
          </cell>
        </row>
        <row r="19">
          <cell r="D19">
            <v>743217.57</v>
          </cell>
        </row>
        <row r="20">
          <cell r="D20">
            <v>61.4</v>
          </cell>
        </row>
        <row r="22">
          <cell r="D22">
            <v>8948.15</v>
          </cell>
        </row>
        <row r="23">
          <cell r="D23">
            <v>22361036.25</v>
          </cell>
        </row>
        <row r="24">
          <cell r="D24">
            <v>72.39</v>
          </cell>
        </row>
        <row r="25">
          <cell r="D25">
            <v>6636518.9199999999</v>
          </cell>
        </row>
        <row r="26">
          <cell r="D26">
            <v>6636518.9199999999</v>
          </cell>
        </row>
        <row r="29">
          <cell r="D29">
            <v>0</v>
          </cell>
        </row>
        <row r="31">
          <cell r="D31">
            <v>0</v>
          </cell>
        </row>
        <row r="34">
          <cell r="D34">
            <v>0</v>
          </cell>
        </row>
        <row r="36">
          <cell r="D36">
            <v>0</v>
          </cell>
        </row>
        <row r="41">
          <cell r="D41">
            <v>145543885.28999999</v>
          </cell>
        </row>
        <row r="42">
          <cell r="D42">
            <v>17052632.489999998</v>
          </cell>
        </row>
        <row r="43">
          <cell r="D43">
            <v>8859945.3599999994</v>
          </cell>
        </row>
        <row r="44">
          <cell r="D44">
            <v>1512413.88</v>
          </cell>
        </row>
        <row r="45">
          <cell r="D45">
            <v>1683259.67</v>
          </cell>
        </row>
        <row r="46">
          <cell r="D46">
            <v>98000.1</v>
          </cell>
        </row>
        <row r="47">
          <cell r="D47">
            <v>220783.96</v>
          </cell>
        </row>
        <row r="48">
          <cell r="D48">
            <v>35824</v>
          </cell>
        </row>
        <row r="49">
          <cell r="D49">
            <v>517965.98</v>
          </cell>
        </row>
        <row r="50">
          <cell r="D50">
            <v>272780.78999999998</v>
          </cell>
        </row>
        <row r="51">
          <cell r="D51">
            <v>99000</v>
          </cell>
        </row>
        <row r="52">
          <cell r="D52">
            <v>194700</v>
          </cell>
        </row>
        <row r="53">
          <cell r="D53">
            <v>1564768.5</v>
          </cell>
        </row>
        <row r="54">
          <cell r="D54">
            <v>307493</v>
          </cell>
        </row>
        <row r="55">
          <cell r="D55">
            <v>1477163.28</v>
          </cell>
        </row>
        <row r="56">
          <cell r="D56">
            <v>17796.240000000002</v>
          </cell>
        </row>
        <row r="57">
          <cell r="D57">
            <v>190737.73</v>
          </cell>
        </row>
        <row r="61">
          <cell r="D61">
            <v>0</v>
          </cell>
        </row>
        <row r="64">
          <cell r="D64">
            <v>194990.95</v>
          </cell>
        </row>
        <row r="67">
          <cell r="D67">
            <v>3542499.71</v>
          </cell>
        </row>
        <row r="68">
          <cell r="D68">
            <v>2834953.76</v>
          </cell>
        </row>
        <row r="69">
          <cell r="D69">
            <v>27029.85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680516.1</v>
          </cell>
        </row>
        <row r="74">
          <cell r="D74">
            <v>30259.599999999999</v>
          </cell>
        </row>
        <row r="75">
          <cell r="D75">
            <v>26487445.960000001</v>
          </cell>
        </row>
        <row r="76">
          <cell r="D76">
            <v>0</v>
          </cell>
        </row>
        <row r="77">
          <cell r="D77">
            <v>7763692.5800000001</v>
          </cell>
        </row>
        <row r="81">
          <cell r="D81">
            <v>0</v>
          </cell>
        </row>
        <row r="82">
          <cell r="D82">
            <v>148115.62</v>
          </cell>
        </row>
        <row r="83">
          <cell r="D83">
            <v>150751.88</v>
          </cell>
        </row>
        <row r="88">
          <cell r="D88">
            <v>0</v>
          </cell>
        </row>
        <row r="90">
          <cell r="D90">
            <v>3349987</v>
          </cell>
        </row>
        <row r="94">
          <cell r="D94">
            <v>13541.15</v>
          </cell>
        </row>
        <row r="98">
          <cell r="D98">
            <v>489562675.97000003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280491686.74000001</v>
          </cell>
        </row>
        <row r="13">
          <cell r="D13">
            <v>241485293.66</v>
          </cell>
        </row>
        <row r="14">
          <cell r="D14">
            <v>6613167.5499999998</v>
          </cell>
        </row>
        <row r="15">
          <cell r="D15">
            <v>5105676.1100000003</v>
          </cell>
        </row>
        <row r="16">
          <cell r="D16">
            <v>4091335.81</v>
          </cell>
        </row>
        <row r="17">
          <cell r="D17">
            <v>38976.18</v>
          </cell>
        </row>
        <row r="18">
          <cell r="D18">
            <v>13.17</v>
          </cell>
        </row>
        <row r="19">
          <cell r="D19">
            <v>974687.18</v>
          </cell>
        </row>
        <row r="20">
          <cell r="D20">
            <v>663.77</v>
          </cell>
        </row>
        <row r="22">
          <cell r="D22">
            <v>10131.61</v>
          </cell>
        </row>
        <row r="23">
          <cell r="D23">
            <v>27277384.390000001</v>
          </cell>
        </row>
        <row r="24">
          <cell r="D24">
            <v>33.42</v>
          </cell>
        </row>
        <row r="25">
          <cell r="D25">
            <v>3284112.78</v>
          </cell>
        </row>
        <row r="26">
          <cell r="D26">
            <v>3284112.78</v>
          </cell>
        </row>
        <row r="29">
          <cell r="D29">
            <v>0</v>
          </cell>
        </row>
        <row r="31">
          <cell r="D31">
            <v>0</v>
          </cell>
        </row>
        <row r="34">
          <cell r="D34">
            <v>0</v>
          </cell>
        </row>
        <row r="36">
          <cell r="D36">
            <v>0</v>
          </cell>
        </row>
        <row r="38">
          <cell r="D38">
            <v>283775799.51999998</v>
          </cell>
        </row>
        <row r="41">
          <cell r="D41">
            <v>175697710.91</v>
          </cell>
        </row>
        <row r="42">
          <cell r="D42">
            <v>31084781.530000001</v>
          </cell>
        </row>
        <row r="43">
          <cell r="D43">
            <v>13691738.51</v>
          </cell>
        </row>
        <row r="44">
          <cell r="D44">
            <v>1520350.32</v>
          </cell>
        </row>
        <row r="45">
          <cell r="D45">
            <v>2094248.8</v>
          </cell>
        </row>
        <row r="46">
          <cell r="D46">
            <v>88253.4</v>
          </cell>
        </row>
        <row r="47">
          <cell r="D47">
            <v>192373.91</v>
          </cell>
        </row>
        <row r="48">
          <cell r="D48">
            <v>232186</v>
          </cell>
        </row>
        <row r="49">
          <cell r="D49">
            <v>443974.25</v>
          </cell>
        </row>
        <row r="50">
          <cell r="D50">
            <v>378077.18</v>
          </cell>
        </row>
        <row r="51">
          <cell r="D51">
            <v>99000</v>
          </cell>
        </row>
        <row r="52">
          <cell r="D52">
            <v>193700</v>
          </cell>
        </row>
        <row r="53">
          <cell r="D53">
            <v>2152773.16</v>
          </cell>
        </row>
        <row r="54">
          <cell r="D54">
            <v>346896</v>
          </cell>
        </row>
        <row r="55">
          <cell r="D55">
            <v>9265281.75</v>
          </cell>
        </row>
        <row r="56">
          <cell r="D56">
            <v>30150</v>
          </cell>
        </row>
        <row r="57">
          <cell r="D57">
            <v>355778.25</v>
          </cell>
        </row>
        <row r="61">
          <cell r="D61">
            <v>0</v>
          </cell>
        </row>
        <row r="64">
          <cell r="D64">
            <v>555796</v>
          </cell>
        </row>
        <row r="67">
          <cell r="D67">
            <v>4187440.48</v>
          </cell>
        </row>
        <row r="68">
          <cell r="D68">
            <v>3351080.06</v>
          </cell>
        </row>
        <row r="69">
          <cell r="D69">
            <v>31950.85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804409.57</v>
          </cell>
        </row>
        <row r="74">
          <cell r="D74">
            <v>2947.19</v>
          </cell>
        </row>
        <row r="75">
          <cell r="D75">
            <v>22397555.829999998</v>
          </cell>
        </row>
        <row r="76">
          <cell r="D76">
            <v>0</v>
          </cell>
        </row>
        <row r="77">
          <cell r="D77">
            <v>229789.38</v>
          </cell>
        </row>
        <row r="81">
          <cell r="D81">
            <v>0</v>
          </cell>
        </row>
        <row r="82">
          <cell r="D82">
            <v>1303627.68</v>
          </cell>
        </row>
        <row r="83">
          <cell r="D83">
            <v>387084.26</v>
          </cell>
        </row>
        <row r="88">
          <cell r="D88">
            <v>0</v>
          </cell>
        </row>
        <row r="90">
          <cell r="D90">
            <v>1000000</v>
          </cell>
        </row>
        <row r="94">
          <cell r="D94">
            <v>-240705.23</v>
          </cell>
        </row>
        <row r="98">
          <cell r="D98">
            <v>536732447.45999998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NEECO II - AREA 1</v>
          </cell>
        </row>
        <row r="12">
          <cell r="C12">
            <v>2597497730</v>
          </cell>
          <cell r="D12">
            <v>274454177.62</v>
          </cell>
        </row>
        <row r="13">
          <cell r="C13">
            <v>2317794083</v>
          </cell>
          <cell r="D13">
            <v>247669167.84</v>
          </cell>
        </row>
        <row r="14">
          <cell r="C14">
            <v>132090070</v>
          </cell>
          <cell r="D14">
            <v>11867932.390000001</v>
          </cell>
        </row>
        <row r="15">
          <cell r="C15">
            <v>97195268</v>
          </cell>
          <cell r="D15">
            <v>8664818.4499999993</v>
          </cell>
        </row>
        <row r="16">
          <cell r="C16">
            <v>51050441.259999998</v>
          </cell>
          <cell r="D16">
            <v>7215797.7000000002</v>
          </cell>
        </row>
        <row r="17">
          <cell r="C17">
            <v>32147715.18</v>
          </cell>
          <cell r="D17">
            <v>55355.85</v>
          </cell>
        </row>
        <row r="20">
          <cell r="C20">
            <v>13997111.560000001</v>
          </cell>
          <cell r="D20">
            <v>1393664.9</v>
          </cell>
        </row>
        <row r="23">
          <cell r="C23">
            <v>50418309</v>
          </cell>
          <cell r="D23">
            <v>6252258.9400000004</v>
          </cell>
        </row>
        <row r="25">
          <cell r="C25">
            <v>58579347</v>
          </cell>
          <cell r="D25">
            <v>6422904.0800000001</v>
          </cell>
        </row>
        <row r="26">
          <cell r="C26">
            <v>40066470</v>
          </cell>
          <cell r="D26">
            <v>4652895.6399999997</v>
          </cell>
        </row>
        <row r="28">
          <cell r="C28">
            <v>18512877</v>
          </cell>
          <cell r="D28">
            <v>1770008.44</v>
          </cell>
        </row>
        <row r="29">
          <cell r="C29">
            <v>85124798</v>
          </cell>
          <cell r="D29">
            <v>0</v>
          </cell>
        </row>
        <row r="31">
          <cell r="C31">
            <v>85124798</v>
          </cell>
        </row>
        <row r="34">
          <cell r="C34">
            <v>15174019</v>
          </cell>
        </row>
        <row r="36">
          <cell r="D36">
            <v>29383053.079999998</v>
          </cell>
        </row>
        <row r="37">
          <cell r="C37">
            <v>28405672</v>
          </cell>
          <cell r="D37">
            <v>266921.82</v>
          </cell>
        </row>
        <row r="38">
          <cell r="C38">
            <v>2784781566</v>
          </cell>
          <cell r="D38">
            <v>310527056.60000002</v>
          </cell>
        </row>
        <row r="41">
          <cell r="C41">
            <v>1808856514</v>
          </cell>
          <cell r="D41">
            <v>219872140.31</v>
          </cell>
        </row>
        <row r="42">
          <cell r="C42">
            <v>376190297.39999998</v>
          </cell>
          <cell r="D42">
            <v>21805747.75</v>
          </cell>
        </row>
        <row r="43">
          <cell r="C43">
            <v>188596335</v>
          </cell>
          <cell r="D43">
            <v>14363101.26</v>
          </cell>
        </row>
        <row r="44">
          <cell r="C44">
            <v>10902122</v>
          </cell>
          <cell r="D44">
            <v>907500</v>
          </cell>
        </row>
        <row r="45">
          <cell r="C45">
            <v>64369993.399999999</v>
          </cell>
          <cell r="D45">
            <v>1933436.37</v>
          </cell>
        </row>
        <row r="46">
          <cell r="C46">
            <v>3004049</v>
          </cell>
          <cell r="D46">
            <v>215280.79</v>
          </cell>
        </row>
        <row r="47">
          <cell r="C47">
            <v>4965645</v>
          </cell>
          <cell r="D47">
            <v>54978.75</v>
          </cell>
        </row>
        <row r="48">
          <cell r="C48">
            <v>890425</v>
          </cell>
          <cell r="D48">
            <v>98817</v>
          </cell>
        </row>
        <row r="49">
          <cell r="C49">
            <v>14700000</v>
          </cell>
          <cell r="D49">
            <v>771626.3</v>
          </cell>
        </row>
        <row r="50">
          <cell r="C50">
            <v>6618037</v>
          </cell>
          <cell r="D50">
            <v>176302.51</v>
          </cell>
        </row>
        <row r="51">
          <cell r="C51">
            <v>4188000</v>
          </cell>
          <cell r="D51">
            <v>256472.28</v>
          </cell>
        </row>
        <row r="52">
          <cell r="C52">
            <v>4165200</v>
          </cell>
          <cell r="D52">
            <v>186050</v>
          </cell>
        </row>
        <row r="53">
          <cell r="C53">
            <v>21731143</v>
          </cell>
          <cell r="D53">
            <v>1163950.1000000001</v>
          </cell>
        </row>
        <row r="54">
          <cell r="C54">
            <v>5570000</v>
          </cell>
          <cell r="D54">
            <v>258499.68</v>
          </cell>
        </row>
        <row r="55">
          <cell r="C55">
            <v>33832000</v>
          </cell>
          <cell r="D55">
            <v>1118258.55</v>
          </cell>
        </row>
        <row r="56">
          <cell r="C56">
            <v>11658567</v>
          </cell>
          <cell r="D56">
            <v>252899.9</v>
          </cell>
        </row>
        <row r="57">
          <cell r="C57">
            <v>998781</v>
          </cell>
          <cell r="D57">
            <v>48574.26</v>
          </cell>
        </row>
        <row r="60">
          <cell r="C60">
            <v>55187344</v>
          </cell>
          <cell r="D60">
            <v>11605661</v>
          </cell>
        </row>
        <row r="64">
          <cell r="C64">
            <v>60971147</v>
          </cell>
          <cell r="D64">
            <v>10417979.689999999</v>
          </cell>
        </row>
        <row r="67">
          <cell r="C67">
            <v>107621798</v>
          </cell>
          <cell r="D67">
            <v>6136472.2599999998</v>
          </cell>
        </row>
        <row r="68">
          <cell r="C68">
            <v>56526792.289999999</v>
          </cell>
          <cell r="D68">
            <v>5110267.7699999996</v>
          </cell>
        </row>
        <row r="69">
          <cell r="C69">
            <v>35596308.009999998</v>
          </cell>
          <cell r="D69">
            <v>39203.32</v>
          </cell>
        </row>
        <row r="72">
          <cell r="C72">
            <v>15498697.699999999</v>
          </cell>
          <cell r="D72">
            <v>987001.17</v>
          </cell>
        </row>
        <row r="75">
          <cell r="C75">
            <v>50418309</v>
          </cell>
          <cell r="D75">
            <v>6573552.9900000002</v>
          </cell>
        </row>
        <row r="78">
          <cell r="C78">
            <v>37061718</v>
          </cell>
          <cell r="D78">
            <v>2028.1</v>
          </cell>
        </row>
        <row r="81">
          <cell r="C81">
            <v>15174019</v>
          </cell>
        </row>
        <row r="82">
          <cell r="C82">
            <v>201879496</v>
          </cell>
          <cell r="D82">
            <v>4808630.03</v>
          </cell>
        </row>
        <row r="83">
          <cell r="C83">
            <v>40281360</v>
          </cell>
          <cell r="D83">
            <v>10627710.66</v>
          </cell>
        </row>
        <row r="88">
          <cell r="D88">
            <v>13074071.18</v>
          </cell>
        </row>
        <row r="90">
          <cell r="C90">
            <v>60000000</v>
          </cell>
          <cell r="D90">
            <v>9647439.6300000008</v>
          </cell>
        </row>
        <row r="97">
          <cell r="C97">
            <v>375840868</v>
          </cell>
        </row>
        <row r="98">
          <cell r="D98">
            <v>527745462.44999999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239669448.5</v>
          </cell>
        </row>
        <row r="13">
          <cell r="D13">
            <v>217843224.53999999</v>
          </cell>
        </row>
        <row r="14">
          <cell r="D14">
            <v>10764667.76</v>
          </cell>
        </row>
        <row r="15">
          <cell r="D15">
            <v>5406023.2400000002</v>
          </cell>
        </row>
        <row r="16">
          <cell r="D16">
            <v>4326274.41</v>
          </cell>
        </row>
        <row r="17">
          <cell r="D17">
            <v>41248.83</v>
          </cell>
        </row>
        <row r="20">
          <cell r="D20">
            <v>1038500</v>
          </cell>
        </row>
        <row r="23">
          <cell r="D23">
            <v>5655532.96</v>
          </cell>
        </row>
        <row r="25">
          <cell r="D25">
            <v>7164356.0899999999</v>
          </cell>
        </row>
        <row r="26">
          <cell r="D26">
            <v>6988633.6900000004</v>
          </cell>
        </row>
        <row r="28">
          <cell r="D28">
            <v>175722.4</v>
          </cell>
        </row>
        <row r="29">
          <cell r="D29">
            <v>0</v>
          </cell>
        </row>
        <row r="36">
          <cell r="D36">
            <v>2413779.75</v>
          </cell>
        </row>
        <row r="37">
          <cell r="D37">
            <v>5178551.28</v>
          </cell>
        </row>
        <row r="38">
          <cell r="D38">
            <v>254426135.62</v>
          </cell>
        </row>
        <row r="41">
          <cell r="D41">
            <v>168031596.37</v>
          </cell>
        </row>
        <row r="42">
          <cell r="D42">
            <v>54891947.859999999</v>
          </cell>
        </row>
        <row r="43">
          <cell r="D43">
            <v>15009594.68</v>
          </cell>
        </row>
        <row r="44">
          <cell r="D44">
            <v>908000</v>
          </cell>
        </row>
        <row r="45">
          <cell r="D45">
            <v>32964617.649999999</v>
          </cell>
        </row>
        <row r="46">
          <cell r="D46">
            <v>249698.1</v>
          </cell>
        </row>
        <row r="47">
          <cell r="D47">
            <v>670534.46</v>
          </cell>
        </row>
        <row r="48">
          <cell r="D48">
            <v>94400</v>
          </cell>
        </row>
        <row r="49">
          <cell r="D49">
            <v>583206.30000000005</v>
          </cell>
        </row>
        <row r="50">
          <cell r="D50">
            <v>508597.31</v>
          </cell>
        </row>
        <row r="51">
          <cell r="D51">
            <v>295139.25</v>
          </cell>
        </row>
        <row r="52">
          <cell r="D52">
            <v>293626.14</v>
          </cell>
        </row>
        <row r="53">
          <cell r="D53">
            <v>1213853.96</v>
          </cell>
        </row>
        <row r="54">
          <cell r="D54">
            <v>150143.28</v>
          </cell>
        </row>
        <row r="55">
          <cell r="D55">
            <v>362184.22</v>
          </cell>
        </row>
        <row r="56">
          <cell r="D56">
            <v>1492516.18</v>
          </cell>
        </row>
        <row r="57">
          <cell r="D57">
            <v>95836.33</v>
          </cell>
        </row>
        <row r="67">
          <cell r="D67">
            <v>5876400.9699999997</v>
          </cell>
        </row>
        <row r="68">
          <cell r="D68">
            <v>4702703.29</v>
          </cell>
        </row>
        <row r="69">
          <cell r="D69">
            <v>44837.89</v>
          </cell>
        </row>
        <row r="72">
          <cell r="D72">
            <v>1128859.79</v>
          </cell>
        </row>
        <row r="74">
          <cell r="D74">
            <v>658858.04</v>
          </cell>
        </row>
        <row r="75">
          <cell r="D75">
            <v>810185.11</v>
          </cell>
        </row>
        <row r="78">
          <cell r="D78">
            <v>5691288.29</v>
          </cell>
        </row>
        <row r="81">
          <cell r="D81">
            <v>79838.55</v>
          </cell>
        </row>
        <row r="82">
          <cell r="D82">
            <v>1103462.81</v>
          </cell>
        </row>
        <row r="83">
          <cell r="D83">
            <v>1461528.31</v>
          </cell>
        </row>
        <row r="88">
          <cell r="D88">
            <v>9445834.0099999998</v>
          </cell>
        </row>
        <row r="90">
          <cell r="D90">
            <v>1309713.5900000001</v>
          </cell>
        </row>
        <row r="94">
          <cell r="D94">
            <v>1900000</v>
          </cell>
        </row>
        <row r="95">
          <cell r="D95">
            <v>12655547.6</v>
          </cell>
        </row>
        <row r="97">
          <cell r="D97">
            <v>416186685.87</v>
          </cell>
        </row>
        <row r="98">
          <cell r="D98">
            <v>419352167.57999998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176341882.37</v>
          </cell>
        </row>
        <row r="13">
          <cell r="D13">
            <v>157318218.16</v>
          </cell>
        </row>
        <row r="14">
          <cell r="D14">
            <v>8829752.1199999992</v>
          </cell>
        </row>
        <row r="15">
          <cell r="D15">
            <v>6414875.0899999999</v>
          </cell>
        </row>
        <row r="16">
          <cell r="D16">
            <v>5133627.5999999996</v>
          </cell>
        </row>
        <row r="17">
          <cell r="D17">
            <v>48946.53</v>
          </cell>
        </row>
        <row r="20">
          <cell r="D20">
            <v>1232300.96</v>
          </cell>
        </row>
        <row r="23">
          <cell r="D23">
            <v>3779037</v>
          </cell>
        </row>
        <row r="25">
          <cell r="D25">
            <v>6567992.9000000004</v>
          </cell>
        </row>
        <row r="26">
          <cell r="D26">
            <v>6386516.79</v>
          </cell>
        </row>
        <row r="28">
          <cell r="D28">
            <v>181476.11</v>
          </cell>
        </row>
        <row r="29">
          <cell r="D29">
            <v>0</v>
          </cell>
        </row>
        <row r="34">
          <cell r="D34">
            <v>31657427.129999999</v>
          </cell>
        </row>
        <row r="36">
          <cell r="D36">
            <v>4345446.09</v>
          </cell>
        </row>
        <row r="37">
          <cell r="D37">
            <v>5893477.8399999999</v>
          </cell>
        </row>
        <row r="38">
          <cell r="D38">
            <v>224806226.33000001</v>
          </cell>
        </row>
        <row r="41">
          <cell r="D41">
            <v>137694729.33000001</v>
          </cell>
        </row>
        <row r="42">
          <cell r="D42">
            <v>25897672.059999999</v>
          </cell>
        </row>
        <row r="43">
          <cell r="D43">
            <v>14892900.6</v>
          </cell>
        </row>
        <row r="44">
          <cell r="D44">
            <v>908500</v>
          </cell>
        </row>
        <row r="45">
          <cell r="D45">
            <v>2469527.27</v>
          </cell>
        </row>
        <row r="46">
          <cell r="D46">
            <v>228724.57</v>
          </cell>
        </row>
        <row r="47">
          <cell r="D47">
            <v>421047.53</v>
          </cell>
        </row>
        <row r="48">
          <cell r="D48">
            <v>40390</v>
          </cell>
        </row>
        <row r="49">
          <cell r="D49">
            <v>842664.79</v>
          </cell>
        </row>
        <row r="50">
          <cell r="D50">
            <v>325561.77</v>
          </cell>
        </row>
        <row r="51">
          <cell r="D51">
            <v>103204</v>
          </cell>
        </row>
        <row r="52">
          <cell r="D52">
            <v>430376.14</v>
          </cell>
        </row>
        <row r="53">
          <cell r="D53">
            <v>2056241.15</v>
          </cell>
        </row>
        <row r="54">
          <cell r="D54">
            <v>514260.02</v>
          </cell>
        </row>
        <row r="55">
          <cell r="D55">
            <v>2385828.4900000002</v>
          </cell>
        </row>
        <row r="56">
          <cell r="D56">
            <v>227475.82</v>
          </cell>
        </row>
        <row r="57">
          <cell r="D57">
            <v>50969.91</v>
          </cell>
        </row>
        <row r="64">
          <cell r="D64">
            <v>1026903.18</v>
          </cell>
        </row>
        <row r="65">
          <cell r="D65">
            <v>1026903.18</v>
          </cell>
        </row>
        <row r="67">
          <cell r="D67">
            <v>5406023.2400000002</v>
          </cell>
        </row>
        <row r="68">
          <cell r="D68">
            <v>4326274.41</v>
          </cell>
        </row>
        <row r="69">
          <cell r="D69">
            <v>41248.83</v>
          </cell>
        </row>
        <row r="72">
          <cell r="D72">
            <v>1038500</v>
          </cell>
        </row>
        <row r="75">
          <cell r="D75">
            <v>281676.40000000002</v>
          </cell>
        </row>
        <row r="78">
          <cell r="D78">
            <v>96082.31</v>
          </cell>
        </row>
        <row r="82">
          <cell r="D82">
            <v>781551.44</v>
          </cell>
        </row>
        <row r="83">
          <cell r="D83">
            <v>2557823.12</v>
          </cell>
        </row>
        <row r="88">
          <cell r="D88">
            <v>42422094.890000001</v>
          </cell>
        </row>
        <row r="90">
          <cell r="D90">
            <v>1776525.34</v>
          </cell>
        </row>
        <row r="98">
          <cell r="D98">
            <v>426217312.61000001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234399414.19</v>
          </cell>
        </row>
        <row r="13">
          <cell r="D13">
            <v>212223070.61000001</v>
          </cell>
        </row>
        <row r="14">
          <cell r="D14">
            <v>11708025.07</v>
          </cell>
        </row>
        <row r="15">
          <cell r="D15">
            <v>4509829.16</v>
          </cell>
        </row>
        <row r="16">
          <cell r="D16">
            <v>3609077.82</v>
          </cell>
        </row>
        <row r="17">
          <cell r="D17">
            <v>34410.730000000003</v>
          </cell>
        </row>
        <row r="20">
          <cell r="D20">
            <v>866340.61</v>
          </cell>
        </row>
        <row r="23">
          <cell r="D23">
            <v>5958489.3499999996</v>
          </cell>
        </row>
        <row r="25">
          <cell r="D25">
            <v>7689786.8700000001</v>
          </cell>
        </row>
        <row r="26">
          <cell r="D26">
            <v>7357904.9199999999</v>
          </cell>
        </row>
        <row r="28">
          <cell r="D28">
            <v>331881.95</v>
          </cell>
        </row>
        <row r="29">
          <cell r="D29">
            <v>0</v>
          </cell>
        </row>
        <row r="36">
          <cell r="D36">
            <v>29568601.309999999</v>
          </cell>
        </row>
        <row r="37">
          <cell r="D37">
            <v>2582762.87</v>
          </cell>
        </row>
        <row r="38">
          <cell r="D38">
            <v>274240565.24000001</v>
          </cell>
        </row>
        <row r="41">
          <cell r="D41">
            <v>137407927.55000001</v>
          </cell>
        </row>
        <row r="42">
          <cell r="D42">
            <v>28660790.539999999</v>
          </cell>
        </row>
        <row r="43">
          <cell r="D43">
            <v>19796744.690000001</v>
          </cell>
        </row>
        <row r="44">
          <cell r="D44">
            <v>908500</v>
          </cell>
        </row>
        <row r="45">
          <cell r="D45">
            <v>1035210.48</v>
          </cell>
        </row>
        <row r="46">
          <cell r="D46">
            <v>308407.17</v>
          </cell>
        </row>
        <row r="47">
          <cell r="D47">
            <v>598084.93999999994</v>
          </cell>
        </row>
        <row r="48">
          <cell r="D48">
            <v>269185.83</v>
          </cell>
        </row>
        <row r="49">
          <cell r="D49">
            <v>717460.53</v>
          </cell>
        </row>
        <row r="50">
          <cell r="D50">
            <v>558702.98</v>
          </cell>
        </row>
        <row r="51">
          <cell r="D51">
            <v>248065.25</v>
          </cell>
        </row>
        <row r="52">
          <cell r="D52">
            <v>290526.14</v>
          </cell>
        </row>
        <row r="53">
          <cell r="D53">
            <v>1807931.7</v>
          </cell>
        </row>
        <row r="54">
          <cell r="D54">
            <v>399957.38</v>
          </cell>
        </row>
        <row r="55">
          <cell r="D55">
            <v>1125720.33</v>
          </cell>
        </row>
        <row r="56">
          <cell r="D56">
            <v>552818.09</v>
          </cell>
        </row>
        <row r="57">
          <cell r="D57">
            <v>43475.03</v>
          </cell>
        </row>
        <row r="60">
          <cell r="D60">
            <v>23030754.23</v>
          </cell>
        </row>
        <row r="64">
          <cell r="D64">
            <v>3625722.59</v>
          </cell>
        </row>
        <row r="67">
          <cell r="D67">
            <v>6414875.0899999999</v>
          </cell>
        </row>
        <row r="68">
          <cell r="D68">
            <v>5133627.5999999996</v>
          </cell>
        </row>
        <row r="69">
          <cell r="D69">
            <v>48946.53</v>
          </cell>
        </row>
        <row r="72">
          <cell r="D72">
            <v>1232300.96</v>
          </cell>
        </row>
        <row r="75">
          <cell r="D75">
            <v>127702.74</v>
          </cell>
        </row>
        <row r="78">
          <cell r="D78">
            <v>17515.96</v>
          </cell>
        </row>
        <row r="82">
          <cell r="D82">
            <v>2651.79</v>
          </cell>
        </row>
        <row r="83">
          <cell r="D83">
            <v>3774356.52</v>
          </cell>
        </row>
        <row r="88">
          <cell r="D88">
            <v>20621762.120000001</v>
          </cell>
        </row>
        <row r="98">
          <cell r="D98">
            <v>476773818.70999998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189575855.91</v>
          </cell>
        </row>
        <row r="13">
          <cell r="D13">
            <v>167129097.27000001</v>
          </cell>
        </row>
        <row r="14">
          <cell r="D14">
            <v>9220987.0899999999</v>
          </cell>
        </row>
        <row r="15">
          <cell r="D15">
            <v>8451302.4800000004</v>
          </cell>
        </row>
        <row r="16">
          <cell r="D16">
            <v>6763317.9199999999</v>
          </cell>
        </row>
        <row r="17">
          <cell r="D17">
            <v>64484.800000000003</v>
          </cell>
        </row>
        <row r="20">
          <cell r="D20">
            <v>1623499.76</v>
          </cell>
        </row>
        <row r="23">
          <cell r="D23">
            <v>4774469.07</v>
          </cell>
        </row>
        <row r="25">
          <cell r="D25">
            <v>4307001.93</v>
          </cell>
        </row>
        <row r="26">
          <cell r="D26">
            <v>4091733.32</v>
          </cell>
        </row>
        <row r="28">
          <cell r="D28">
            <v>215268.61</v>
          </cell>
        </row>
        <row r="29">
          <cell r="D29">
            <v>0</v>
          </cell>
        </row>
        <row r="36">
          <cell r="D36">
            <v>7470558.3099999996</v>
          </cell>
        </row>
        <row r="37">
          <cell r="D37">
            <v>1500205.99</v>
          </cell>
        </row>
        <row r="41">
          <cell r="D41">
            <v>131114203.72</v>
          </cell>
        </row>
        <row r="42">
          <cell r="D42">
            <v>19658181.030000001</v>
          </cell>
        </row>
        <row r="43">
          <cell r="D43">
            <v>14148076.130000001</v>
          </cell>
        </row>
        <row r="44">
          <cell r="D44">
            <v>908000</v>
          </cell>
        </row>
        <row r="45">
          <cell r="D45">
            <v>812785.03</v>
          </cell>
        </row>
        <row r="46">
          <cell r="D46">
            <v>276757.13</v>
          </cell>
        </row>
        <row r="47">
          <cell r="D47">
            <v>498398.06</v>
          </cell>
        </row>
        <row r="48">
          <cell r="D48">
            <v>39468</v>
          </cell>
        </row>
        <row r="49">
          <cell r="D49">
            <v>640473.23</v>
          </cell>
        </row>
        <row r="50">
          <cell r="D50">
            <v>94767.27</v>
          </cell>
        </row>
        <row r="51">
          <cell r="D51">
            <v>177102.95</v>
          </cell>
        </row>
        <row r="52">
          <cell r="D52">
            <v>297526.14</v>
          </cell>
        </row>
        <row r="53">
          <cell r="D53">
            <v>769412.91</v>
          </cell>
        </row>
        <row r="54">
          <cell r="D54">
            <v>95302</v>
          </cell>
        </row>
        <row r="55">
          <cell r="D55">
            <v>840965.86</v>
          </cell>
        </row>
        <row r="56">
          <cell r="D56">
            <v>31725.81</v>
          </cell>
        </row>
        <row r="57">
          <cell r="D57">
            <v>27420.51</v>
          </cell>
        </row>
        <row r="64">
          <cell r="D64">
            <v>5497794.3499999996</v>
          </cell>
        </row>
        <row r="67">
          <cell r="D67">
            <v>4509829.16</v>
          </cell>
        </row>
        <row r="68">
          <cell r="D68">
            <v>3609077.82</v>
          </cell>
        </row>
        <row r="69">
          <cell r="D69">
            <v>34410.730000000003</v>
          </cell>
        </row>
        <row r="72">
          <cell r="D72">
            <v>866340.61</v>
          </cell>
        </row>
        <row r="75">
          <cell r="D75">
            <v>12835245.25</v>
          </cell>
        </row>
        <row r="78">
          <cell r="D78">
            <v>4369932.8099999996</v>
          </cell>
        </row>
        <row r="82">
          <cell r="D82">
            <v>2005780.51</v>
          </cell>
        </row>
        <row r="83">
          <cell r="D83">
            <v>156616.22</v>
          </cell>
        </row>
        <row r="88">
          <cell r="D88">
            <v>11383269.68</v>
          </cell>
        </row>
        <row r="98">
          <cell r="D98">
            <v>488096588.12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288328096.85000002</v>
          </cell>
        </row>
        <row r="13">
          <cell r="D13">
            <v>262164312.68000001</v>
          </cell>
        </row>
        <row r="14">
          <cell r="D14">
            <v>13074071.18</v>
          </cell>
        </row>
        <row r="15">
          <cell r="D15">
            <v>6136472.2599999998</v>
          </cell>
        </row>
        <row r="16">
          <cell r="D16">
            <v>5110267.7699999996</v>
          </cell>
        </row>
        <row r="17">
          <cell r="D17">
            <v>39203.32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987001.17</v>
          </cell>
        </row>
        <row r="23">
          <cell r="D23">
            <v>6953240.7300000004</v>
          </cell>
        </row>
        <row r="25">
          <cell r="D25">
            <v>6952427.2400000002</v>
          </cell>
        </row>
        <row r="26">
          <cell r="D26">
            <v>5560339.0800000001</v>
          </cell>
        </row>
        <row r="28">
          <cell r="D28">
            <v>1392088.16</v>
          </cell>
        </row>
        <row r="29">
          <cell r="D29">
            <v>0</v>
          </cell>
        </row>
        <row r="34">
          <cell r="D34">
            <v>213837.13</v>
          </cell>
        </row>
        <row r="36">
          <cell r="D36">
            <v>30347960.890000001</v>
          </cell>
        </row>
        <row r="37">
          <cell r="D37">
            <v>5485800.6900000004</v>
          </cell>
        </row>
        <row r="38">
          <cell r="D38">
            <v>331328122.80000001</v>
          </cell>
        </row>
        <row r="41">
          <cell r="D41">
            <v>197636744.88</v>
          </cell>
        </row>
        <row r="42">
          <cell r="D42">
            <v>21376035.329999998</v>
          </cell>
        </row>
        <row r="43">
          <cell r="D43">
            <v>14135250.52</v>
          </cell>
        </row>
        <row r="44">
          <cell r="D44">
            <v>89000</v>
          </cell>
        </row>
        <row r="45">
          <cell r="D45">
            <v>886316.66</v>
          </cell>
        </row>
        <row r="46">
          <cell r="D46">
            <v>259209.09</v>
          </cell>
        </row>
        <row r="47">
          <cell r="D47">
            <v>138609.88</v>
          </cell>
        </row>
        <row r="48">
          <cell r="D48">
            <v>65230</v>
          </cell>
        </row>
        <row r="49">
          <cell r="D49">
            <v>604331.41</v>
          </cell>
        </row>
        <row r="50">
          <cell r="D50">
            <v>350736.56</v>
          </cell>
        </row>
        <row r="51">
          <cell r="D51">
            <v>194945.61</v>
          </cell>
        </row>
        <row r="52">
          <cell r="D52">
            <v>201650</v>
          </cell>
        </row>
        <row r="53">
          <cell r="D53">
            <v>1826661.85</v>
          </cell>
        </row>
        <row r="54">
          <cell r="D54">
            <v>202440</v>
          </cell>
        </row>
        <row r="55">
          <cell r="D55">
            <v>1734270.74</v>
          </cell>
        </row>
        <row r="56">
          <cell r="D56">
            <v>586383.5</v>
          </cell>
        </row>
        <row r="57">
          <cell r="D57">
            <v>100999.51</v>
          </cell>
        </row>
        <row r="64">
          <cell r="D64">
            <v>1346726.22</v>
          </cell>
        </row>
        <row r="67">
          <cell r="D67">
            <v>8451302.4800000004</v>
          </cell>
        </row>
        <row r="68">
          <cell r="D68">
            <v>6763317.9199999999</v>
          </cell>
        </row>
        <row r="69">
          <cell r="D69">
            <v>64484.800000000003</v>
          </cell>
        </row>
        <row r="72">
          <cell r="D72">
            <v>1623499.76</v>
          </cell>
        </row>
        <row r="75">
          <cell r="D75">
            <v>17231.95</v>
          </cell>
        </row>
        <row r="78">
          <cell r="D78">
            <v>2234.85</v>
          </cell>
        </row>
        <row r="81">
          <cell r="D81">
            <v>0</v>
          </cell>
        </row>
        <row r="82">
          <cell r="D82">
            <v>27839082.649999999</v>
          </cell>
        </row>
        <row r="83">
          <cell r="D83">
            <v>1340494.73</v>
          </cell>
        </row>
        <row r="88">
          <cell r="D88">
            <v>9220987.0899999999</v>
          </cell>
        </row>
        <row r="90">
          <cell r="D90">
            <v>20404031.289999999</v>
          </cell>
        </row>
        <row r="98">
          <cell r="D98">
            <v>531789839.44999999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NEECO II - AREA 2</v>
          </cell>
        </row>
        <row r="12">
          <cell r="C12">
            <v>3350943368.46</v>
          </cell>
          <cell r="D12">
            <v>253456358.81</v>
          </cell>
        </row>
        <row r="13">
          <cell r="C13">
            <v>2803955091.8200002</v>
          </cell>
          <cell r="D13">
            <v>207468160.41</v>
          </cell>
        </row>
        <row r="14">
          <cell r="C14">
            <v>165953401.40000001</v>
          </cell>
          <cell r="D14">
            <v>14237949.41</v>
          </cell>
        </row>
        <row r="15">
          <cell r="C15">
            <v>71402556.489999995</v>
          </cell>
          <cell r="D15">
            <v>7462704.7000000002</v>
          </cell>
        </row>
        <row r="16">
          <cell r="C16">
            <v>47996142.469999999</v>
          </cell>
          <cell r="D16">
            <v>6078562.6399999997</v>
          </cell>
        </row>
        <row r="17">
          <cell r="C17">
            <v>6946183.8099999996</v>
          </cell>
          <cell r="D17">
            <v>52720.61</v>
          </cell>
        </row>
        <row r="18">
          <cell r="C18">
            <v>259430</v>
          </cell>
          <cell r="D18">
            <v>80.069999999999993</v>
          </cell>
        </row>
        <row r="19">
          <cell r="C19">
            <v>559382.49</v>
          </cell>
          <cell r="D19">
            <v>5162.76</v>
          </cell>
        </row>
        <row r="20">
          <cell r="C20">
            <v>15641417.720000001</v>
          </cell>
          <cell r="D20">
            <v>1326178.6200000001</v>
          </cell>
        </row>
        <row r="22">
          <cell r="C22">
            <v>35288442.950000003</v>
          </cell>
          <cell r="D22">
            <v>8896.61</v>
          </cell>
        </row>
        <row r="23">
          <cell r="C23">
            <v>274343875.80000001</v>
          </cell>
          <cell r="D23">
            <v>24278647.68</v>
          </cell>
        </row>
        <row r="25">
          <cell r="C25">
            <v>161271114.5</v>
          </cell>
          <cell r="D25">
            <v>14845447.23</v>
          </cell>
        </row>
        <row r="26">
          <cell r="C26">
            <v>41559769</v>
          </cell>
          <cell r="D26">
            <v>2887812.72</v>
          </cell>
        </row>
        <row r="28">
          <cell r="C28">
            <v>119711345.5</v>
          </cell>
          <cell r="D28">
            <v>11957634.51</v>
          </cell>
        </row>
        <row r="29">
          <cell r="C29">
            <v>150000000</v>
          </cell>
          <cell r="D29">
            <v>0</v>
          </cell>
        </row>
        <row r="30">
          <cell r="C30">
            <v>150000000</v>
          </cell>
        </row>
        <row r="34">
          <cell r="C34">
            <v>27383811</v>
          </cell>
          <cell r="D34">
            <v>0</v>
          </cell>
        </row>
        <row r="38">
          <cell r="C38">
            <v>3689598293.96</v>
          </cell>
          <cell r="D38">
            <v>268301806.03999999</v>
          </cell>
        </row>
        <row r="41">
          <cell r="C41">
            <v>1936424160</v>
          </cell>
          <cell r="D41">
            <v>211643591.69</v>
          </cell>
        </row>
        <row r="42">
          <cell r="C42">
            <v>378214908.29000002</v>
          </cell>
          <cell r="D42">
            <v>18707369.66</v>
          </cell>
        </row>
        <row r="43">
          <cell r="C43">
            <v>180094929</v>
          </cell>
          <cell r="D43">
            <v>11264505.869999999</v>
          </cell>
        </row>
        <row r="44">
          <cell r="C44">
            <v>15421064.09</v>
          </cell>
          <cell r="D44">
            <v>1212372.3799999999</v>
          </cell>
        </row>
        <row r="45">
          <cell r="C45">
            <v>35704810</v>
          </cell>
          <cell r="D45">
            <v>701466.49</v>
          </cell>
        </row>
        <row r="46">
          <cell r="C46">
            <v>4220533</v>
          </cell>
          <cell r="D46">
            <v>226408.8</v>
          </cell>
        </row>
        <row r="47">
          <cell r="C47">
            <v>6058166.0300000003</v>
          </cell>
          <cell r="D47">
            <v>173872.15</v>
          </cell>
        </row>
        <row r="48">
          <cell r="C48">
            <v>3754550</v>
          </cell>
          <cell r="D48">
            <v>426192</v>
          </cell>
        </row>
        <row r="49">
          <cell r="C49">
            <v>18000000</v>
          </cell>
          <cell r="D49">
            <v>1095225.82</v>
          </cell>
        </row>
        <row r="50">
          <cell r="C50">
            <v>22363293.219999999</v>
          </cell>
          <cell r="D50">
            <v>1171490.55</v>
          </cell>
        </row>
        <row r="51">
          <cell r="C51">
            <v>5160000</v>
          </cell>
          <cell r="D51">
            <v>2932</v>
          </cell>
        </row>
        <row r="52">
          <cell r="C52">
            <v>4356300</v>
          </cell>
          <cell r="D52">
            <v>270700</v>
          </cell>
        </row>
        <row r="53">
          <cell r="C53">
            <v>17690919.600000001</v>
          </cell>
          <cell r="D53">
            <v>1326426.08</v>
          </cell>
        </row>
        <row r="54">
          <cell r="C54">
            <v>3224300</v>
          </cell>
          <cell r="D54">
            <v>241772</v>
          </cell>
        </row>
        <row r="55">
          <cell r="C55">
            <v>52311300</v>
          </cell>
          <cell r="D55">
            <v>248216.04</v>
          </cell>
        </row>
        <row r="56">
          <cell r="C56">
            <v>7241743.3499999996</v>
          </cell>
          <cell r="D56">
            <v>274158.68</v>
          </cell>
        </row>
        <row r="57">
          <cell r="C57">
            <v>2613000</v>
          </cell>
          <cell r="D57">
            <v>71630.8</v>
          </cell>
        </row>
        <row r="60">
          <cell r="C60">
            <v>97011489.819999993</v>
          </cell>
          <cell r="D60">
            <v>9264406.7699999996</v>
          </cell>
        </row>
        <row r="64">
          <cell r="D64">
            <v>1798533.97</v>
          </cell>
        </row>
        <row r="67">
          <cell r="C67">
            <v>71402556.489999995</v>
          </cell>
          <cell r="D67">
            <v>7261222.3300000001</v>
          </cell>
        </row>
        <row r="68">
          <cell r="C68">
            <v>57647934.789999999</v>
          </cell>
          <cell r="D68">
            <v>5789680.7000000002</v>
          </cell>
        </row>
        <row r="69">
          <cell r="C69">
            <v>534224.30000000005</v>
          </cell>
          <cell r="D69">
            <v>55426.82</v>
          </cell>
        </row>
        <row r="70">
          <cell r="C70">
            <v>0</v>
          </cell>
          <cell r="D70">
            <v>0</v>
          </cell>
        </row>
        <row r="71">
          <cell r="C71">
            <v>334423.53999999998</v>
          </cell>
          <cell r="D71">
            <v>26547.27</v>
          </cell>
        </row>
        <row r="72">
          <cell r="C72">
            <v>12885973.859999999</v>
          </cell>
          <cell r="D72">
            <v>1389567.54</v>
          </cell>
        </row>
        <row r="74">
          <cell r="C74">
            <v>35288442.950000003</v>
          </cell>
          <cell r="D74">
            <v>9413.1299999999992</v>
          </cell>
        </row>
        <row r="75">
          <cell r="C75">
            <v>274343875.80000001</v>
          </cell>
          <cell r="D75">
            <v>21578082.850000001</v>
          </cell>
        </row>
        <row r="76">
          <cell r="C76">
            <v>19846930.780000001</v>
          </cell>
          <cell r="D76">
            <v>10007036.77</v>
          </cell>
        </row>
        <row r="81">
          <cell r="C81">
            <v>27383811</v>
          </cell>
          <cell r="D81">
            <v>82500</v>
          </cell>
        </row>
        <row r="82">
          <cell r="C82">
            <v>631567482.75999999</v>
          </cell>
          <cell r="D82">
            <v>2692522.46</v>
          </cell>
        </row>
        <row r="83">
          <cell r="C83">
            <v>272278308.56999999</v>
          </cell>
          <cell r="D83">
            <v>4078028.93</v>
          </cell>
        </row>
        <row r="88">
          <cell r="C88">
            <v>10000000</v>
          </cell>
          <cell r="D88">
            <v>10000000</v>
          </cell>
        </row>
        <row r="90">
          <cell r="C90">
            <v>90430093</v>
          </cell>
          <cell r="D90">
            <v>7608895.79</v>
          </cell>
        </row>
        <row r="94">
          <cell r="C94">
            <v>164891739</v>
          </cell>
          <cell r="D94">
            <v>0</v>
          </cell>
        </row>
        <row r="97">
          <cell r="C97">
            <v>629606265.15999997</v>
          </cell>
        </row>
        <row r="98">
          <cell r="D98">
            <v>471635675.37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95048794.459999993</v>
          </cell>
        </row>
        <row r="13">
          <cell r="D13">
            <v>79777713.109999999</v>
          </cell>
        </row>
        <row r="14">
          <cell r="D14">
            <v>4057869.52</v>
          </cell>
        </row>
        <row r="15">
          <cell r="D15">
            <v>1062276.54</v>
          </cell>
        </row>
        <row r="16">
          <cell r="D16">
            <v>849191.22</v>
          </cell>
        </row>
        <row r="17">
          <cell r="D17">
            <v>8378.2999999999993</v>
          </cell>
        </row>
        <row r="18">
          <cell r="D18">
            <v>7.17</v>
          </cell>
        </row>
        <row r="19">
          <cell r="D19">
            <v>168.74</v>
          </cell>
        </row>
        <row r="20">
          <cell r="D20">
            <v>204531.11</v>
          </cell>
        </row>
        <row r="22">
          <cell r="D22">
            <v>25278.65</v>
          </cell>
        </row>
        <row r="23">
          <cell r="D23">
            <v>10119270.960000001</v>
          </cell>
        </row>
        <row r="24">
          <cell r="D24">
            <v>6385.68</v>
          </cell>
        </row>
        <row r="25">
          <cell r="D25">
            <v>2108901.13</v>
          </cell>
        </row>
        <row r="26">
          <cell r="D26">
            <v>922156.55</v>
          </cell>
        </row>
        <row r="28">
          <cell r="D28">
            <v>1186744.58</v>
          </cell>
        </row>
        <row r="29">
          <cell r="D29">
            <v>0</v>
          </cell>
        </row>
        <row r="37">
          <cell r="D37">
            <v>688321.19</v>
          </cell>
        </row>
        <row r="38">
          <cell r="D38">
            <v>97846016.780000001</v>
          </cell>
        </row>
        <row r="41">
          <cell r="D41">
            <v>70586614.75</v>
          </cell>
        </row>
        <row r="42">
          <cell r="D42">
            <v>7525720.96</v>
          </cell>
        </row>
        <row r="43">
          <cell r="D43">
            <v>4616074.75</v>
          </cell>
        </row>
        <row r="44">
          <cell r="D44">
            <v>515795</v>
          </cell>
        </row>
        <row r="45">
          <cell r="D45">
            <v>584811.66</v>
          </cell>
        </row>
        <row r="46">
          <cell r="D46">
            <v>20500</v>
          </cell>
        </row>
        <row r="47">
          <cell r="D47">
            <v>34003</v>
          </cell>
        </row>
        <row r="48">
          <cell r="D48">
            <v>67189</v>
          </cell>
        </row>
        <row r="49">
          <cell r="D49">
            <v>432851.8</v>
          </cell>
        </row>
        <row r="50">
          <cell r="D50">
            <v>179936.96</v>
          </cell>
        </row>
        <row r="51">
          <cell r="D51">
            <v>83800</v>
          </cell>
        </row>
        <row r="52">
          <cell r="D52">
            <v>129523.19</v>
          </cell>
        </row>
        <row r="53">
          <cell r="D53">
            <v>313185.15999999997</v>
          </cell>
        </row>
        <row r="54">
          <cell r="D54">
            <v>0</v>
          </cell>
        </row>
        <row r="55">
          <cell r="D55">
            <v>236570.71</v>
          </cell>
        </row>
        <row r="56">
          <cell r="D56">
            <v>31456.21</v>
          </cell>
        </row>
        <row r="57">
          <cell r="D57">
            <v>280023.52</v>
          </cell>
        </row>
        <row r="67">
          <cell r="D67">
            <v>1110673.56</v>
          </cell>
        </row>
        <row r="68">
          <cell r="D68">
            <v>888144.67</v>
          </cell>
        </row>
        <row r="69">
          <cell r="D69">
            <v>8487.26</v>
          </cell>
        </row>
        <row r="70">
          <cell r="D70">
            <v>21.25</v>
          </cell>
        </row>
        <row r="71">
          <cell r="D71">
            <v>77.77</v>
          </cell>
        </row>
        <row r="72">
          <cell r="D72">
            <v>213942.61</v>
          </cell>
        </row>
        <row r="74">
          <cell r="D74">
            <v>163307.07</v>
          </cell>
        </row>
        <row r="75">
          <cell r="D75">
            <v>8825726.7699999996</v>
          </cell>
        </row>
        <row r="77">
          <cell r="D77">
            <v>90000</v>
          </cell>
        </row>
        <row r="82">
          <cell r="D82">
            <v>2250731.88</v>
          </cell>
        </row>
        <row r="83">
          <cell r="D83">
            <v>35960.71</v>
          </cell>
        </row>
        <row r="88">
          <cell r="D88">
            <v>4861121.87</v>
          </cell>
        </row>
        <row r="90">
          <cell r="D90">
            <v>683291.68</v>
          </cell>
        </row>
        <row r="95">
          <cell r="D95">
            <v>5544413.5499999998</v>
          </cell>
        </row>
        <row r="97">
          <cell r="D97">
            <v>114815387.08</v>
          </cell>
        </row>
        <row r="98">
          <cell r="D98">
            <v>116528254.61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205929254.41999999</v>
          </cell>
        </row>
        <row r="13">
          <cell r="D13">
            <v>167055017.71000001</v>
          </cell>
        </row>
        <row r="14">
          <cell r="D14">
            <v>11458766.59</v>
          </cell>
        </row>
        <row r="15">
          <cell r="D15">
            <v>5488354.6200000001</v>
          </cell>
        </row>
        <row r="16">
          <cell r="D16">
            <v>4329835.3899999997</v>
          </cell>
        </row>
        <row r="17">
          <cell r="D17">
            <v>41630.31</v>
          </cell>
        </row>
        <row r="18">
          <cell r="D18">
            <v>0</v>
          </cell>
        </row>
        <row r="19">
          <cell r="D19">
            <v>69065.88</v>
          </cell>
        </row>
        <row r="20">
          <cell r="D20">
            <v>1047823.04</v>
          </cell>
        </row>
        <row r="22">
          <cell r="D22">
            <v>212115.75</v>
          </cell>
        </row>
        <row r="23">
          <cell r="D23">
            <v>21714999.75</v>
          </cell>
        </row>
        <row r="25">
          <cell r="D25">
            <v>56737581.340000004</v>
          </cell>
        </row>
        <row r="26">
          <cell r="D26">
            <v>3495858.63</v>
          </cell>
        </row>
        <row r="28">
          <cell r="D28">
            <v>53241722.710000001</v>
          </cell>
        </row>
        <row r="29">
          <cell r="D29">
            <v>0</v>
          </cell>
        </row>
        <row r="34">
          <cell r="D34">
            <v>0</v>
          </cell>
        </row>
        <row r="38">
          <cell r="D38">
            <v>262666835.75999999</v>
          </cell>
        </row>
        <row r="41">
          <cell r="D41">
            <v>138193128.91</v>
          </cell>
        </row>
        <row r="42">
          <cell r="D42">
            <v>33359939.300000001</v>
          </cell>
        </row>
        <row r="43">
          <cell r="D43">
            <v>11910763.4</v>
          </cell>
        </row>
        <row r="44">
          <cell r="D44">
            <v>1235586.32</v>
          </cell>
        </row>
        <row r="45">
          <cell r="D45">
            <v>11428838.9</v>
          </cell>
        </row>
        <row r="46">
          <cell r="D46">
            <v>170246.44</v>
          </cell>
        </row>
        <row r="47">
          <cell r="D47">
            <v>55262.59</v>
          </cell>
        </row>
        <row r="48">
          <cell r="D48">
            <v>82525</v>
          </cell>
        </row>
        <row r="49">
          <cell r="D49">
            <v>1254617.77</v>
          </cell>
        </row>
        <row r="50">
          <cell r="D50">
            <v>1363321.84</v>
          </cell>
        </row>
        <row r="51">
          <cell r="D51">
            <v>312573</v>
          </cell>
        </row>
        <row r="52">
          <cell r="D52">
            <v>333375</v>
          </cell>
        </row>
        <row r="53">
          <cell r="D53">
            <v>1154522.03</v>
          </cell>
        </row>
        <row r="54">
          <cell r="D54">
            <v>90000</v>
          </cell>
        </row>
        <row r="55">
          <cell r="D55">
            <v>1893328.05</v>
          </cell>
        </row>
        <row r="56">
          <cell r="D56">
            <v>1912726.22</v>
          </cell>
        </row>
        <row r="57">
          <cell r="D57">
            <v>162252.74</v>
          </cell>
        </row>
        <row r="60">
          <cell r="D60">
            <v>2786585</v>
          </cell>
        </row>
        <row r="64">
          <cell r="D64">
            <v>635794.68999999994</v>
          </cell>
        </row>
        <row r="67">
          <cell r="D67">
            <v>5200545.43</v>
          </cell>
        </row>
        <row r="68">
          <cell r="D68">
            <v>4514328.79</v>
          </cell>
        </row>
        <row r="69">
          <cell r="D69">
            <v>147945.69</v>
          </cell>
        </row>
        <row r="70">
          <cell r="D70">
            <v>0</v>
          </cell>
        </row>
        <row r="71">
          <cell r="D71">
            <v>816.61</v>
          </cell>
        </row>
        <row r="72">
          <cell r="D72">
            <v>537454.34</v>
          </cell>
        </row>
        <row r="75">
          <cell r="D75">
            <v>18527950.309999999</v>
          </cell>
        </row>
        <row r="76">
          <cell r="D76">
            <v>2233317.31</v>
          </cell>
        </row>
        <row r="82">
          <cell r="D82">
            <v>10979848.189999999</v>
          </cell>
        </row>
        <row r="83">
          <cell r="D83">
            <v>7038084.25</v>
          </cell>
        </row>
        <row r="90">
          <cell r="D90">
            <v>6133096.9000000004</v>
          </cell>
        </row>
        <row r="94">
          <cell r="D94">
            <v>346333.33</v>
          </cell>
        </row>
        <row r="95">
          <cell r="D95">
            <v>6479430.2300000004</v>
          </cell>
        </row>
        <row r="97">
          <cell r="D97">
            <v>455406735.98000002</v>
          </cell>
        </row>
        <row r="98">
          <cell r="D98">
            <v>492638948.12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193580758.13999999</v>
          </cell>
        </row>
        <row r="13">
          <cell r="D13">
            <v>158117890.68000001</v>
          </cell>
        </row>
        <row r="14">
          <cell r="D14">
            <v>10604594.689999999</v>
          </cell>
        </row>
        <row r="15">
          <cell r="D15">
            <v>5118481.38</v>
          </cell>
        </row>
        <row r="16">
          <cell r="D16">
            <v>4094768.93</v>
          </cell>
        </row>
        <row r="17">
          <cell r="D17">
            <v>38945.56</v>
          </cell>
        </row>
        <row r="18">
          <cell r="D18">
            <v>95.46</v>
          </cell>
        </row>
        <row r="19">
          <cell r="D19">
            <v>4698.5600000000004</v>
          </cell>
        </row>
        <row r="20">
          <cell r="D20">
            <v>979972.87</v>
          </cell>
        </row>
        <row r="22">
          <cell r="D22">
            <v>160828.46</v>
          </cell>
        </row>
        <row r="23">
          <cell r="D23">
            <v>19578962.93</v>
          </cell>
        </row>
        <row r="25">
          <cell r="D25">
            <v>27842532.18</v>
          </cell>
        </row>
        <row r="26">
          <cell r="D26">
            <v>4868438.8899999997</v>
          </cell>
        </row>
        <row r="28">
          <cell r="D28">
            <v>22974093.289999999</v>
          </cell>
        </row>
        <row r="29">
          <cell r="D29">
            <v>0</v>
          </cell>
        </row>
        <row r="34">
          <cell r="D34">
            <v>0</v>
          </cell>
        </row>
        <row r="38">
          <cell r="D38">
            <v>221423290.31999999</v>
          </cell>
        </row>
        <row r="41">
          <cell r="D41">
            <v>122966580.56</v>
          </cell>
        </row>
        <row r="42">
          <cell r="D42">
            <v>19476235.289999999</v>
          </cell>
        </row>
        <row r="43">
          <cell r="D43">
            <v>10751054.16</v>
          </cell>
        </row>
        <row r="44">
          <cell r="D44">
            <v>1230933.72</v>
          </cell>
        </row>
        <row r="45">
          <cell r="D45">
            <v>1452943.47</v>
          </cell>
        </row>
        <row r="46">
          <cell r="D46">
            <v>307447.46000000002</v>
          </cell>
        </row>
        <row r="47">
          <cell r="D47">
            <v>198940.51</v>
          </cell>
        </row>
        <row r="48">
          <cell r="D48">
            <v>160669</v>
          </cell>
        </row>
        <row r="49">
          <cell r="D49">
            <v>1160643.8</v>
          </cell>
        </row>
        <row r="50">
          <cell r="D50">
            <v>975968.14</v>
          </cell>
        </row>
        <row r="51">
          <cell r="D51">
            <v>329000</v>
          </cell>
        </row>
        <row r="52">
          <cell r="D52">
            <v>307050</v>
          </cell>
        </row>
        <row r="53">
          <cell r="D53">
            <v>603572.61</v>
          </cell>
        </row>
        <row r="54">
          <cell r="D54">
            <v>164060</v>
          </cell>
        </row>
        <row r="55">
          <cell r="D55">
            <v>587146.75</v>
          </cell>
        </row>
        <row r="56">
          <cell r="D56">
            <v>1154363.57</v>
          </cell>
        </row>
        <row r="57">
          <cell r="D57">
            <v>92442.1</v>
          </cell>
        </row>
        <row r="60">
          <cell r="D60">
            <v>2786585</v>
          </cell>
        </row>
        <row r="64">
          <cell r="D64">
            <v>916177.67</v>
          </cell>
        </row>
        <row r="65">
          <cell r="D65">
            <v>3702762.67</v>
          </cell>
        </row>
        <row r="67">
          <cell r="D67">
            <v>5748328.4100000001</v>
          </cell>
        </row>
        <row r="68">
          <cell r="D68">
            <v>4514328.79</v>
          </cell>
        </row>
        <row r="69">
          <cell r="D69">
            <v>147945.69</v>
          </cell>
        </row>
        <row r="70">
          <cell r="D70">
            <v>0</v>
          </cell>
        </row>
        <row r="71">
          <cell r="D71">
            <v>816.61</v>
          </cell>
        </row>
        <row r="72">
          <cell r="D72">
            <v>1085237.32</v>
          </cell>
        </row>
        <row r="74">
          <cell r="D74">
            <v>388987.14</v>
          </cell>
        </row>
        <row r="75">
          <cell r="D75">
            <v>17641950.170000002</v>
          </cell>
        </row>
        <row r="76">
          <cell r="D76">
            <v>8558.98</v>
          </cell>
        </row>
        <row r="81">
          <cell r="D81">
            <v>0</v>
          </cell>
        </row>
        <row r="82">
          <cell r="D82">
            <v>18294462.43</v>
          </cell>
        </row>
        <row r="83">
          <cell r="D83">
            <v>9768977.2799999993</v>
          </cell>
        </row>
        <row r="88">
          <cell r="D88">
            <v>0</v>
          </cell>
        </row>
        <row r="90">
          <cell r="D90">
            <v>8742409.3300000001</v>
          </cell>
        </row>
        <row r="94">
          <cell r="D94">
            <v>0</v>
          </cell>
        </row>
        <row r="98">
          <cell r="D98">
            <v>507322986.18000001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214637802.33000001</v>
          </cell>
        </row>
        <row r="13">
          <cell r="D13">
            <v>175619186.78999999</v>
          </cell>
        </row>
        <row r="14">
          <cell r="D14">
            <v>11926917.880000001</v>
          </cell>
        </row>
        <row r="15">
          <cell r="D15">
            <v>5719725.3700000001</v>
          </cell>
        </row>
        <row r="16">
          <cell r="D16">
            <v>4570575.7300000004</v>
          </cell>
        </row>
        <row r="17">
          <cell r="D17">
            <v>43868.15</v>
          </cell>
        </row>
        <row r="18">
          <cell r="D18">
            <v>40.520000000000003</v>
          </cell>
        </row>
        <row r="19">
          <cell r="D19">
            <v>1234.33</v>
          </cell>
        </row>
        <row r="20">
          <cell r="D20">
            <v>1104006.6399999999</v>
          </cell>
        </row>
        <row r="22">
          <cell r="D22">
            <v>28671.06</v>
          </cell>
        </row>
        <row r="23">
          <cell r="D23">
            <v>21343301.23</v>
          </cell>
        </row>
        <row r="25">
          <cell r="D25">
            <v>26667084.68</v>
          </cell>
        </row>
        <row r="26">
          <cell r="D26">
            <v>3302597.13</v>
          </cell>
        </row>
        <row r="28">
          <cell r="D28">
            <v>23364487.550000001</v>
          </cell>
        </row>
        <row r="29">
          <cell r="D29">
            <v>0</v>
          </cell>
        </row>
        <row r="34">
          <cell r="D34">
            <v>0</v>
          </cell>
        </row>
        <row r="38">
          <cell r="D38">
            <v>241304887.00999999</v>
          </cell>
        </row>
        <row r="41">
          <cell r="D41">
            <v>128044255.8</v>
          </cell>
        </row>
        <row r="42">
          <cell r="D42">
            <v>27676518.800000001</v>
          </cell>
        </row>
        <row r="43">
          <cell r="D43">
            <v>16947548.879999999</v>
          </cell>
        </row>
        <row r="44">
          <cell r="D44">
            <v>1232255.8999999999</v>
          </cell>
        </row>
        <row r="45">
          <cell r="D45">
            <v>812940.05</v>
          </cell>
        </row>
        <row r="46">
          <cell r="D46">
            <v>234839.03</v>
          </cell>
        </row>
        <row r="47">
          <cell r="D47">
            <v>369139.43</v>
          </cell>
        </row>
        <row r="48">
          <cell r="D48">
            <v>444171.2</v>
          </cell>
        </row>
        <row r="49">
          <cell r="D49">
            <v>1190468.27</v>
          </cell>
        </row>
        <row r="50">
          <cell r="D50">
            <v>1829793.64</v>
          </cell>
        </row>
        <row r="51">
          <cell r="D51">
            <v>324300</v>
          </cell>
        </row>
        <row r="52">
          <cell r="D52">
            <v>267375</v>
          </cell>
        </row>
        <row r="53">
          <cell r="D53">
            <v>1597597.94</v>
          </cell>
        </row>
        <row r="54">
          <cell r="D54">
            <v>388250</v>
          </cell>
        </row>
        <row r="55">
          <cell r="D55">
            <v>1787745.87</v>
          </cell>
        </row>
        <row r="56">
          <cell r="D56">
            <v>57604.44</v>
          </cell>
        </row>
        <row r="57">
          <cell r="D57">
            <v>192489.15</v>
          </cell>
        </row>
        <row r="60">
          <cell r="D60">
            <v>9262622.2400000002</v>
          </cell>
        </row>
        <row r="64">
          <cell r="D64">
            <v>3005834.49</v>
          </cell>
        </row>
        <row r="67">
          <cell r="D67">
            <v>5126220.3</v>
          </cell>
        </row>
        <row r="68">
          <cell r="D68">
            <v>4101129.02</v>
          </cell>
        </row>
        <row r="69">
          <cell r="D69">
            <v>39006.199999999997</v>
          </cell>
        </row>
        <row r="70">
          <cell r="D70">
            <v>0</v>
          </cell>
        </row>
        <row r="71">
          <cell r="D71">
            <v>4585.25</v>
          </cell>
        </row>
        <row r="72">
          <cell r="D72">
            <v>981499.83</v>
          </cell>
        </row>
        <row r="74">
          <cell r="D74">
            <v>28671.06</v>
          </cell>
        </row>
        <row r="75">
          <cell r="D75">
            <v>15670934.869999999</v>
          </cell>
        </row>
        <row r="76">
          <cell r="D76">
            <v>0</v>
          </cell>
        </row>
        <row r="81">
          <cell r="D81">
            <v>0</v>
          </cell>
        </row>
        <row r="82">
          <cell r="D82">
            <v>20708802.75</v>
          </cell>
        </row>
        <row r="83">
          <cell r="D83">
            <v>5093645.97</v>
          </cell>
        </row>
        <row r="88">
          <cell r="D88">
            <v>0</v>
          </cell>
        </row>
        <row r="90">
          <cell r="D90">
            <v>7671748.3899999997</v>
          </cell>
        </row>
        <row r="94">
          <cell r="D94">
            <v>0</v>
          </cell>
        </row>
        <row r="98">
          <cell r="D98">
            <v>526338618.51999998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176780778.31999999</v>
          </cell>
        </row>
        <row r="13">
          <cell r="D13">
            <v>143574732.41999999</v>
          </cell>
        </row>
        <row r="14">
          <cell r="D14">
            <v>10104711.75</v>
          </cell>
        </row>
        <row r="15">
          <cell r="D15">
            <v>4872442.82</v>
          </cell>
        </row>
        <row r="16">
          <cell r="D16">
            <v>3897112.62</v>
          </cell>
        </row>
        <row r="17">
          <cell r="D17">
            <v>37184.75</v>
          </cell>
        </row>
        <row r="18">
          <cell r="D18">
            <v>63.61</v>
          </cell>
        </row>
        <row r="19">
          <cell r="D19">
            <v>2513.1</v>
          </cell>
        </row>
        <row r="20">
          <cell r="D20">
            <v>935568.74</v>
          </cell>
        </row>
        <row r="22">
          <cell r="D22">
            <v>12153.77</v>
          </cell>
        </row>
        <row r="23">
          <cell r="D23">
            <v>18216737.559999999</v>
          </cell>
        </row>
        <row r="25">
          <cell r="D25">
            <v>26712925.559999999</v>
          </cell>
        </row>
        <row r="26">
          <cell r="D26">
            <v>5439748.5099999998</v>
          </cell>
        </row>
        <row r="28">
          <cell r="D28">
            <v>21273177.050000001</v>
          </cell>
        </row>
        <row r="29">
          <cell r="D29">
            <v>0</v>
          </cell>
        </row>
        <row r="34">
          <cell r="D34">
            <v>0</v>
          </cell>
        </row>
        <row r="41">
          <cell r="D41">
            <v>138395728.41</v>
          </cell>
        </row>
        <row r="42">
          <cell r="D42">
            <v>18800950.219999999</v>
          </cell>
        </row>
        <row r="43">
          <cell r="D43">
            <v>11402909.84</v>
          </cell>
        </row>
        <row r="44">
          <cell r="D44">
            <v>1222866.04</v>
          </cell>
        </row>
        <row r="45">
          <cell r="D45">
            <v>878640.08</v>
          </cell>
        </row>
        <row r="46">
          <cell r="D46">
            <v>224472.35</v>
          </cell>
        </row>
        <row r="47">
          <cell r="D47">
            <v>163368.60999999999</v>
          </cell>
        </row>
        <row r="48">
          <cell r="D48">
            <v>76852.53</v>
          </cell>
        </row>
        <row r="49">
          <cell r="D49">
            <v>1150111.8799999999</v>
          </cell>
        </row>
        <row r="50">
          <cell r="D50">
            <v>760811.66</v>
          </cell>
        </row>
        <row r="51">
          <cell r="D51">
            <v>177000</v>
          </cell>
        </row>
        <row r="52">
          <cell r="D52">
            <v>333375</v>
          </cell>
        </row>
        <row r="53">
          <cell r="D53">
            <v>1179977.01</v>
          </cell>
        </row>
        <row r="54">
          <cell r="D54">
            <v>38000</v>
          </cell>
        </row>
        <row r="55">
          <cell r="D55">
            <v>72859.08</v>
          </cell>
        </row>
        <row r="56">
          <cell r="D56">
            <v>938170.34</v>
          </cell>
        </row>
        <row r="57">
          <cell r="D57">
            <v>181535.8</v>
          </cell>
        </row>
        <row r="60">
          <cell r="D60">
            <v>2786585</v>
          </cell>
        </row>
        <row r="64">
          <cell r="D64">
            <v>8191619.6799999997</v>
          </cell>
        </row>
        <row r="67">
          <cell r="D67">
            <v>5723822.8499999996</v>
          </cell>
        </row>
        <row r="68">
          <cell r="D68">
            <v>4572626.5199999996</v>
          </cell>
        </row>
        <row r="69">
          <cell r="D69">
            <v>43947.89</v>
          </cell>
        </row>
        <row r="70">
          <cell r="D70">
            <v>0</v>
          </cell>
        </row>
        <row r="71">
          <cell r="D71">
            <v>1234.33</v>
          </cell>
        </row>
        <row r="72">
          <cell r="D72">
            <v>1106014.1100000001</v>
          </cell>
        </row>
        <row r="74">
          <cell r="D74">
            <v>11837.98</v>
          </cell>
        </row>
        <row r="75">
          <cell r="D75">
            <v>17778928.199999999</v>
          </cell>
        </row>
        <row r="76">
          <cell r="D76">
            <v>0</v>
          </cell>
        </row>
        <row r="81">
          <cell r="D81">
            <v>4144761.9</v>
          </cell>
        </row>
        <row r="82">
          <cell r="D82">
            <v>14402649.369999999</v>
          </cell>
        </row>
        <row r="83">
          <cell r="D83">
            <v>5729897.5599999996</v>
          </cell>
        </row>
        <row r="88">
          <cell r="D88">
            <v>0</v>
          </cell>
        </row>
        <row r="90">
          <cell r="D90">
            <v>7903520.1900000004</v>
          </cell>
        </row>
        <row r="94">
          <cell r="D94">
            <v>0</v>
          </cell>
        </row>
        <row r="98">
          <cell r="D98">
            <v>505962021.04000002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251997735.93000001</v>
          </cell>
        </row>
        <row r="13">
          <cell r="D13">
            <v>204889089.72</v>
          </cell>
        </row>
        <row r="14">
          <cell r="D14">
            <v>14590070.85</v>
          </cell>
        </row>
        <row r="15">
          <cell r="D15">
            <v>7055858.4900000002</v>
          </cell>
        </row>
        <row r="16">
          <cell r="D16">
            <v>5644346.4800000004</v>
          </cell>
        </row>
        <row r="17">
          <cell r="D17">
            <v>53842.25</v>
          </cell>
        </row>
        <row r="18">
          <cell r="D18">
            <v>59.39</v>
          </cell>
        </row>
        <row r="19">
          <cell r="D19">
            <v>2908.47</v>
          </cell>
        </row>
        <row r="20">
          <cell r="D20">
            <v>1354701.9</v>
          </cell>
        </row>
        <row r="22">
          <cell r="D22">
            <v>11574.5</v>
          </cell>
        </row>
        <row r="23">
          <cell r="D23">
            <v>25451142.370000001</v>
          </cell>
        </row>
        <row r="25">
          <cell r="D25">
            <v>21742233.210000001</v>
          </cell>
        </row>
        <row r="26">
          <cell r="D26">
            <v>2679630.77</v>
          </cell>
        </row>
        <row r="28">
          <cell r="D28">
            <v>19062602.440000001</v>
          </cell>
        </row>
        <row r="29">
          <cell r="D29">
            <v>0</v>
          </cell>
        </row>
        <row r="34">
          <cell r="D34">
            <v>0</v>
          </cell>
        </row>
        <row r="38">
          <cell r="D38">
            <v>273739969.13999999</v>
          </cell>
        </row>
        <row r="41">
          <cell r="D41">
            <v>189032718.31999999</v>
          </cell>
        </row>
        <row r="42">
          <cell r="D42">
            <v>19157073.91</v>
          </cell>
        </row>
        <row r="43">
          <cell r="D43">
            <v>11228457.630000001</v>
          </cell>
        </row>
        <row r="44">
          <cell r="D44">
            <v>1205328</v>
          </cell>
        </row>
        <row r="45">
          <cell r="D45">
            <v>1180284.83</v>
          </cell>
        </row>
        <row r="46">
          <cell r="D46">
            <v>215249.51</v>
          </cell>
        </row>
        <row r="47">
          <cell r="D47">
            <v>15004.57</v>
          </cell>
        </row>
        <row r="48">
          <cell r="D48">
            <v>378940.25</v>
          </cell>
        </row>
        <row r="49">
          <cell r="D49">
            <v>1525750.7</v>
          </cell>
        </row>
        <row r="50">
          <cell r="D50">
            <v>951888.62</v>
          </cell>
        </row>
        <row r="51">
          <cell r="D51">
            <v>375700</v>
          </cell>
        </row>
        <row r="52">
          <cell r="D52">
            <v>326375</v>
          </cell>
        </row>
        <row r="53">
          <cell r="D53">
            <v>762556.61</v>
          </cell>
        </row>
        <row r="54">
          <cell r="D54">
            <v>330800</v>
          </cell>
        </row>
        <row r="55">
          <cell r="D55">
            <v>278601</v>
          </cell>
        </row>
        <row r="56">
          <cell r="D56">
            <v>232304.97</v>
          </cell>
        </row>
        <row r="57">
          <cell r="D57">
            <v>149832.22</v>
          </cell>
        </row>
        <row r="60">
          <cell r="D60">
            <v>2786585</v>
          </cell>
        </row>
        <row r="64">
          <cell r="D64">
            <v>7185128.46</v>
          </cell>
        </row>
        <row r="67">
          <cell r="D67">
            <v>4714641.3499999996</v>
          </cell>
        </row>
        <row r="68">
          <cell r="D68">
            <v>3770814.24</v>
          </cell>
        </row>
        <row r="69">
          <cell r="D69">
            <v>35981.47</v>
          </cell>
        </row>
        <row r="70">
          <cell r="D70">
            <v>0</v>
          </cell>
        </row>
        <row r="71">
          <cell r="D71">
            <v>2468.69</v>
          </cell>
        </row>
        <row r="72">
          <cell r="D72">
            <v>905376.95</v>
          </cell>
        </row>
        <row r="74">
          <cell r="D74">
            <v>27928.55</v>
          </cell>
        </row>
        <row r="75">
          <cell r="D75">
            <v>15429305.210000001</v>
          </cell>
        </row>
        <row r="76">
          <cell r="D76">
            <v>0</v>
          </cell>
        </row>
        <row r="81">
          <cell r="D81">
            <v>47500</v>
          </cell>
        </row>
        <row r="82">
          <cell r="D82">
            <v>13892045.32</v>
          </cell>
        </row>
        <row r="83">
          <cell r="D83">
            <v>12053562.75</v>
          </cell>
        </row>
        <row r="88">
          <cell r="D88">
            <v>0</v>
          </cell>
        </row>
        <row r="90">
          <cell r="D90">
            <v>7310027.6299999999</v>
          </cell>
        </row>
        <row r="94">
          <cell r="D94">
            <v>0</v>
          </cell>
        </row>
        <row r="98">
          <cell r="D98">
            <v>508065473.68000001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PELCO I</v>
          </cell>
        </row>
        <row r="12">
          <cell r="C12">
            <v>3356794653</v>
          </cell>
          <cell r="D12">
            <v>416223675.39999998</v>
          </cell>
        </row>
        <row r="13">
          <cell r="C13">
            <v>2808125168</v>
          </cell>
          <cell r="D13">
            <v>362718605.80000001</v>
          </cell>
        </row>
        <row r="14">
          <cell r="C14">
            <v>110091423</v>
          </cell>
          <cell r="D14">
            <v>12799070.99</v>
          </cell>
        </row>
        <row r="15">
          <cell r="C15">
            <v>75426895</v>
          </cell>
          <cell r="D15">
            <v>11696651.109999999</v>
          </cell>
        </row>
        <row r="16">
          <cell r="C16">
            <v>75426895</v>
          </cell>
          <cell r="D16">
            <v>9714733.0899999999</v>
          </cell>
        </row>
        <row r="17">
          <cell r="C17">
            <v>0</v>
          </cell>
          <cell r="D17">
            <v>75703.679999999993</v>
          </cell>
        </row>
        <row r="18">
          <cell r="C18">
            <v>0</v>
          </cell>
          <cell r="D18">
            <v>22.46</v>
          </cell>
        </row>
        <row r="19">
          <cell r="C19">
            <v>0</v>
          </cell>
          <cell r="D19">
            <v>418.86</v>
          </cell>
        </row>
        <row r="20">
          <cell r="C20">
            <v>0</v>
          </cell>
          <cell r="D20">
            <v>1905773.02</v>
          </cell>
        </row>
        <row r="21">
          <cell r="C21">
            <v>0</v>
          </cell>
          <cell r="D21">
            <v>0</v>
          </cell>
        </row>
        <row r="22">
          <cell r="C22">
            <v>36717360</v>
          </cell>
          <cell r="D22">
            <v>5812.88</v>
          </cell>
        </row>
        <row r="23">
          <cell r="C23">
            <v>326433807</v>
          </cell>
          <cell r="D23">
            <v>29003534.620000001</v>
          </cell>
        </row>
        <row r="24">
          <cell r="C24">
            <v>0</v>
          </cell>
          <cell r="D24">
            <v>0</v>
          </cell>
        </row>
        <row r="25">
          <cell r="C25">
            <v>12339925</v>
          </cell>
          <cell r="D25">
            <v>2130903.69</v>
          </cell>
        </row>
        <row r="26">
          <cell r="C26">
            <v>7918603</v>
          </cell>
          <cell r="D26">
            <v>1930580.67</v>
          </cell>
        </row>
        <row r="27">
          <cell r="C27">
            <v>4421322</v>
          </cell>
          <cell r="D27">
            <v>200323.02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978371.7</v>
          </cell>
        </row>
        <row r="37">
          <cell r="C37">
            <v>0</v>
          </cell>
          <cell r="D37">
            <v>6693389.8399999999</v>
          </cell>
        </row>
        <row r="38">
          <cell r="C38">
            <v>3369134578</v>
          </cell>
          <cell r="D38">
            <v>426026340.63</v>
          </cell>
        </row>
        <row r="41">
          <cell r="C41">
            <v>2203062871</v>
          </cell>
          <cell r="D41">
            <v>315734231.25</v>
          </cell>
        </row>
        <row r="42">
          <cell r="C42">
            <v>473043340</v>
          </cell>
          <cell r="D42">
            <v>22076024.23</v>
          </cell>
        </row>
        <row r="43">
          <cell r="C43">
            <v>135039702</v>
          </cell>
          <cell r="D43">
            <v>9289788.4000000004</v>
          </cell>
        </row>
        <row r="44">
          <cell r="C44">
            <v>9600711</v>
          </cell>
          <cell r="D44">
            <v>838401.9</v>
          </cell>
        </row>
        <row r="45">
          <cell r="C45">
            <v>110423729</v>
          </cell>
          <cell r="D45">
            <v>3823591.55</v>
          </cell>
        </row>
        <row r="46">
          <cell r="C46">
            <v>4426600</v>
          </cell>
          <cell r="D46">
            <v>113556.32</v>
          </cell>
        </row>
        <row r="47">
          <cell r="C47">
            <v>10392298</v>
          </cell>
          <cell r="D47">
            <v>295689.44</v>
          </cell>
        </row>
        <row r="48">
          <cell r="C48">
            <v>1346400</v>
          </cell>
          <cell r="D48">
            <v>108907.5</v>
          </cell>
        </row>
        <row r="49">
          <cell r="C49">
            <v>16619547</v>
          </cell>
          <cell r="D49">
            <v>451091.38</v>
          </cell>
        </row>
        <row r="50">
          <cell r="C50">
            <v>89344797</v>
          </cell>
          <cell r="D50">
            <v>2492884.2200000002</v>
          </cell>
        </row>
        <row r="51">
          <cell r="C51">
            <v>3372000</v>
          </cell>
          <cell r="D51">
            <v>215000</v>
          </cell>
        </row>
        <row r="52">
          <cell r="C52">
            <v>4071000</v>
          </cell>
          <cell r="D52">
            <v>287356</v>
          </cell>
        </row>
        <row r="53">
          <cell r="C53">
            <v>18190000</v>
          </cell>
          <cell r="D53">
            <v>514181</v>
          </cell>
        </row>
        <row r="54">
          <cell r="C54">
            <v>6916700</v>
          </cell>
          <cell r="D54">
            <v>742412.71</v>
          </cell>
        </row>
        <row r="55">
          <cell r="C55">
            <v>55382000</v>
          </cell>
          <cell r="D55">
            <v>638295.56999999995</v>
          </cell>
        </row>
        <row r="56">
          <cell r="C56">
            <v>3417856</v>
          </cell>
          <cell r="D56">
            <v>2019272.55</v>
          </cell>
        </row>
        <row r="57">
          <cell r="C57">
            <v>4500000</v>
          </cell>
          <cell r="D57">
            <v>245595.69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7">
          <cell r="C67">
            <v>75426895</v>
          </cell>
          <cell r="D67">
            <v>10254548.439999999</v>
          </cell>
        </row>
        <row r="68">
          <cell r="C68">
            <v>75426895</v>
          </cell>
          <cell r="D68">
            <v>8190616.2199999997</v>
          </cell>
        </row>
        <row r="69">
          <cell r="C69">
            <v>0</v>
          </cell>
          <cell r="D69">
            <v>78850.91</v>
          </cell>
        </row>
        <row r="70">
          <cell r="C70">
            <v>0</v>
          </cell>
          <cell r="D70">
            <v>6.27</v>
          </cell>
        </row>
        <row r="71">
          <cell r="C71">
            <v>0</v>
          </cell>
          <cell r="D71">
            <v>98.56</v>
          </cell>
        </row>
        <row r="72">
          <cell r="C72">
            <v>0</v>
          </cell>
          <cell r="D72">
            <v>1984976.48</v>
          </cell>
        </row>
        <row r="73">
          <cell r="C73">
            <v>0</v>
          </cell>
          <cell r="D73">
            <v>0</v>
          </cell>
        </row>
        <row r="74">
          <cell r="C74">
            <v>36717360</v>
          </cell>
          <cell r="D74">
            <v>0</v>
          </cell>
        </row>
        <row r="75">
          <cell r="C75">
            <v>326433807</v>
          </cell>
          <cell r="D75">
            <v>19044154.600000001</v>
          </cell>
        </row>
        <row r="76">
          <cell r="C76">
            <v>12000000</v>
          </cell>
          <cell r="D76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30000000</v>
          </cell>
          <cell r="D78">
            <v>-2616829.29</v>
          </cell>
        </row>
        <row r="81">
          <cell r="C81">
            <v>0</v>
          </cell>
          <cell r="D81">
            <v>0</v>
          </cell>
        </row>
        <row r="82">
          <cell r="C82">
            <v>147747566</v>
          </cell>
          <cell r="D82">
            <v>10257416.119999999</v>
          </cell>
        </row>
        <row r="83">
          <cell r="C83">
            <v>121554447</v>
          </cell>
          <cell r="D83">
            <v>981400</v>
          </cell>
        </row>
        <row r="88">
          <cell r="C88">
            <v>0</v>
          </cell>
          <cell r="D88">
            <v>7082053.1500000004</v>
          </cell>
        </row>
        <row r="89">
          <cell r="C89">
            <v>30000000</v>
          </cell>
          <cell r="D89">
            <v>0</v>
          </cell>
        </row>
        <row r="90">
          <cell r="C90">
            <v>30000000</v>
          </cell>
          <cell r="D90">
            <v>2935792.67</v>
          </cell>
        </row>
        <row r="91">
          <cell r="C91">
            <v>20000000</v>
          </cell>
          <cell r="D91">
            <v>0</v>
          </cell>
        </row>
        <row r="92">
          <cell r="C92">
            <v>20000000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7">
          <cell r="C97">
            <v>637358749</v>
          </cell>
        </row>
        <row r="98">
          <cell r="D98">
            <v>987257134.77999997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342526217.69</v>
          </cell>
        </row>
        <row r="13">
          <cell r="D13">
            <v>307715856.23000002</v>
          </cell>
        </row>
        <row r="14">
          <cell r="D14">
            <v>8835129.1799999997</v>
          </cell>
        </row>
        <row r="15">
          <cell r="D15">
            <v>6814973.8700000001</v>
          </cell>
        </row>
        <row r="16">
          <cell r="D16">
            <v>5423550.6799999997</v>
          </cell>
        </row>
        <row r="17">
          <cell r="D17">
            <v>53161.83</v>
          </cell>
        </row>
        <row r="18">
          <cell r="D18">
            <v>2.74</v>
          </cell>
        </row>
        <row r="19">
          <cell r="D19">
            <v>54.62</v>
          </cell>
        </row>
        <row r="20">
          <cell r="D20">
            <v>1338204</v>
          </cell>
        </row>
        <row r="21">
          <cell r="D21">
            <v>0</v>
          </cell>
        </row>
        <row r="22">
          <cell r="D22">
            <v>-1573962.52</v>
          </cell>
        </row>
        <row r="23">
          <cell r="D23">
            <v>20734220.93</v>
          </cell>
        </row>
        <row r="24">
          <cell r="D24">
            <v>0</v>
          </cell>
        </row>
        <row r="25">
          <cell r="D25">
            <v>1312611.2</v>
          </cell>
        </row>
        <row r="26">
          <cell r="D26">
            <v>556115.85</v>
          </cell>
        </row>
        <row r="27">
          <cell r="D27">
            <v>756495.35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1158204.6200000001</v>
          </cell>
        </row>
        <row r="37">
          <cell r="D37">
            <v>4433949.17</v>
          </cell>
        </row>
        <row r="38">
          <cell r="D38">
            <v>349430982.68000001</v>
          </cell>
        </row>
        <row r="41">
          <cell r="D41">
            <v>262931977.81</v>
          </cell>
        </row>
        <row r="42">
          <cell r="D42">
            <v>38911482.939999998</v>
          </cell>
        </row>
        <row r="43">
          <cell r="D43">
            <v>11491612.02</v>
          </cell>
        </row>
        <row r="44">
          <cell r="D44">
            <v>678920.57</v>
          </cell>
        </row>
        <row r="45">
          <cell r="D45">
            <v>8051563.3300000001</v>
          </cell>
        </row>
        <row r="46">
          <cell r="D46">
            <v>182351.53</v>
          </cell>
        </row>
        <row r="47">
          <cell r="D47">
            <v>202760.46</v>
          </cell>
        </row>
        <row r="48">
          <cell r="D48">
            <v>536688.5</v>
          </cell>
        </row>
        <row r="49">
          <cell r="D49">
            <v>1435121.7</v>
          </cell>
        </row>
        <row r="50">
          <cell r="D50">
            <v>5396064.04</v>
          </cell>
        </row>
        <row r="51">
          <cell r="D51">
            <v>254723</v>
          </cell>
        </row>
        <row r="52">
          <cell r="D52">
            <v>276650</v>
          </cell>
        </row>
        <row r="53">
          <cell r="D53">
            <v>1381288.68</v>
          </cell>
        </row>
        <row r="54">
          <cell r="D54">
            <v>66516.06</v>
          </cell>
        </row>
        <row r="55">
          <cell r="D55">
            <v>8818755.1500000004</v>
          </cell>
        </row>
        <row r="56">
          <cell r="D56">
            <v>59500</v>
          </cell>
        </row>
        <row r="57">
          <cell r="D57">
            <v>78967.899999999994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7">
          <cell r="D67">
            <v>8906419.8100000005</v>
          </cell>
        </row>
        <row r="68">
          <cell r="D68">
            <v>7118021.5499999998</v>
          </cell>
        </row>
        <row r="69">
          <cell r="D69">
            <v>68323.72</v>
          </cell>
        </row>
        <row r="70">
          <cell r="D70">
            <v>4.47</v>
          </cell>
        </row>
        <row r="71">
          <cell r="D71">
            <v>100.29</v>
          </cell>
        </row>
        <row r="72">
          <cell r="D72">
            <v>1719969.78</v>
          </cell>
        </row>
        <row r="73">
          <cell r="D73">
            <v>0</v>
          </cell>
        </row>
        <row r="74">
          <cell r="D74">
            <v>1078772.33</v>
          </cell>
        </row>
        <row r="75">
          <cell r="D75">
            <v>16538014.51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81">
          <cell r="D81">
            <v>0</v>
          </cell>
        </row>
        <row r="82">
          <cell r="D82">
            <v>781995.52000000002</v>
          </cell>
        </row>
        <row r="83">
          <cell r="D83">
            <v>505811.52</v>
          </cell>
        </row>
        <row r="88">
          <cell r="D88">
            <v>5528815.2000000002</v>
          </cell>
        </row>
        <row r="89">
          <cell r="D89">
            <v>0</v>
          </cell>
        </row>
        <row r="90">
          <cell r="D90">
            <v>133107.51999999999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5661922.7199999997</v>
          </cell>
        </row>
        <row r="97">
          <cell r="D97">
            <v>800559575.25</v>
          </cell>
        </row>
        <row r="98">
          <cell r="D98">
            <v>814674160.76999998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302676761.74000001</v>
          </cell>
        </row>
        <row r="13">
          <cell r="D13">
            <v>269405671.69999999</v>
          </cell>
        </row>
        <row r="14">
          <cell r="D14">
            <v>7737456.5999999996</v>
          </cell>
        </row>
        <row r="15">
          <cell r="D15">
            <v>5954973.5099999998</v>
          </cell>
        </row>
        <row r="16">
          <cell r="D16">
            <v>4749405.07</v>
          </cell>
        </row>
        <row r="17">
          <cell r="D17">
            <v>46064.57</v>
          </cell>
        </row>
        <row r="18">
          <cell r="D18">
            <v>4.5599999999999996</v>
          </cell>
        </row>
        <row r="19">
          <cell r="D19">
            <v>50.97</v>
          </cell>
        </row>
        <row r="20">
          <cell r="D20">
            <v>1159448.3400000001</v>
          </cell>
        </row>
        <row r="21">
          <cell r="D21">
            <v>0</v>
          </cell>
        </row>
        <row r="22">
          <cell r="D22">
            <v>-53530.31</v>
          </cell>
        </row>
        <row r="23">
          <cell r="D23">
            <v>19632190.239999998</v>
          </cell>
        </row>
        <row r="24">
          <cell r="D24">
            <v>0</v>
          </cell>
        </row>
        <row r="25">
          <cell r="D25">
            <v>1109309.48</v>
          </cell>
        </row>
        <row r="26">
          <cell r="D26">
            <v>533356</v>
          </cell>
        </row>
        <row r="27">
          <cell r="D27">
            <v>575953.48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15598743.369999999</v>
          </cell>
        </row>
        <row r="37">
          <cell r="D37">
            <v>35486021.270000003</v>
          </cell>
        </row>
        <row r="38">
          <cell r="D38">
            <v>354870835.86000001</v>
          </cell>
        </row>
        <row r="41">
          <cell r="D41">
            <v>187632766.22</v>
          </cell>
        </row>
        <row r="42">
          <cell r="D42">
            <v>39605113.920000002</v>
          </cell>
        </row>
        <row r="43">
          <cell r="D43">
            <v>9320373.3900000006</v>
          </cell>
        </row>
        <row r="44">
          <cell r="D44">
            <v>825186.17</v>
          </cell>
        </row>
        <row r="45">
          <cell r="D45">
            <v>8038722.0700000003</v>
          </cell>
        </row>
        <row r="46">
          <cell r="D46">
            <v>231126.71</v>
          </cell>
        </row>
        <row r="47">
          <cell r="D47">
            <v>833615.17</v>
          </cell>
        </row>
        <row r="48">
          <cell r="D48">
            <v>56947.5</v>
          </cell>
        </row>
        <row r="49">
          <cell r="D49">
            <v>619903.75</v>
          </cell>
        </row>
        <row r="50">
          <cell r="D50">
            <v>9644324.1199999992</v>
          </cell>
        </row>
        <row r="51">
          <cell r="D51">
            <v>240072.52</v>
          </cell>
        </row>
        <row r="52">
          <cell r="D52">
            <v>290780.5</v>
          </cell>
        </row>
        <row r="53">
          <cell r="D53">
            <v>3146614.18</v>
          </cell>
        </row>
        <row r="54">
          <cell r="D54">
            <v>717780.03</v>
          </cell>
        </row>
        <row r="55">
          <cell r="D55">
            <v>5497045.3099999996</v>
          </cell>
        </row>
        <row r="56">
          <cell r="D56">
            <v>48677</v>
          </cell>
        </row>
        <row r="57">
          <cell r="D57">
            <v>93945.5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7">
          <cell r="D67">
            <v>6822170.0899999999</v>
          </cell>
        </row>
        <row r="68">
          <cell r="D68">
            <v>5429309.5999999996</v>
          </cell>
        </row>
        <row r="69">
          <cell r="D69">
            <v>53216.74</v>
          </cell>
        </row>
        <row r="70">
          <cell r="D70">
            <v>2.74</v>
          </cell>
        </row>
        <row r="71">
          <cell r="D71">
            <v>54.62</v>
          </cell>
        </row>
        <row r="72">
          <cell r="D72">
            <v>1339586.3899999999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9802621.7599999998</v>
          </cell>
        </row>
        <row r="76">
          <cell r="D76">
            <v>900</v>
          </cell>
        </row>
        <row r="77">
          <cell r="D77">
            <v>0</v>
          </cell>
        </row>
        <row r="78">
          <cell r="D78">
            <v>0</v>
          </cell>
        </row>
        <row r="81">
          <cell r="D81">
            <v>0</v>
          </cell>
        </row>
        <row r="82">
          <cell r="D82">
            <v>41731737.100000001</v>
          </cell>
        </row>
        <row r="83">
          <cell r="D83">
            <v>2392212.54</v>
          </cell>
        </row>
        <row r="88">
          <cell r="D88">
            <v>5247785.88</v>
          </cell>
        </row>
        <row r="89">
          <cell r="D89">
            <v>0</v>
          </cell>
        </row>
        <row r="90">
          <cell r="D90">
            <v>23095514.199999999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8">
          <cell r="D98">
            <v>853214174.91999996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296899221.25</v>
          </cell>
        </row>
        <row r="13">
          <cell r="D13">
            <v>263297796.49000001</v>
          </cell>
        </row>
        <row r="14">
          <cell r="D14">
            <v>8385678.4400000004</v>
          </cell>
        </row>
        <row r="15">
          <cell r="D15">
            <v>6447716.0700000003</v>
          </cell>
        </row>
        <row r="16">
          <cell r="D16">
            <v>5147764.32</v>
          </cell>
        </row>
        <row r="17">
          <cell r="D17">
            <v>49663.76</v>
          </cell>
        </row>
        <row r="18">
          <cell r="D18">
            <v>15.98</v>
          </cell>
        </row>
        <row r="19">
          <cell r="D19">
            <v>268.72000000000003</v>
          </cell>
        </row>
        <row r="20">
          <cell r="D20">
            <v>1250003.29</v>
          </cell>
        </row>
        <row r="21">
          <cell r="D21">
            <v>0</v>
          </cell>
        </row>
        <row r="22">
          <cell r="D22">
            <v>5234.1499999999996</v>
          </cell>
        </row>
        <row r="23">
          <cell r="D23">
            <v>18762796.100000001</v>
          </cell>
        </row>
        <row r="24">
          <cell r="D24">
            <v>0</v>
          </cell>
        </row>
        <row r="25">
          <cell r="D25">
            <v>848306.28</v>
          </cell>
        </row>
        <row r="26">
          <cell r="D26">
            <v>703192.76</v>
          </cell>
        </row>
        <row r="27">
          <cell r="D27">
            <v>145113.51999999999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4448066.37</v>
          </cell>
        </row>
        <row r="37">
          <cell r="D37">
            <v>8433539.3300000001</v>
          </cell>
        </row>
        <row r="38">
          <cell r="D38">
            <v>310629133.23000002</v>
          </cell>
        </row>
        <row r="41">
          <cell r="D41">
            <v>279700505.13999999</v>
          </cell>
        </row>
        <row r="42">
          <cell r="D42">
            <v>32244688.57</v>
          </cell>
        </row>
        <row r="43">
          <cell r="D43">
            <v>8980286.1799999997</v>
          </cell>
        </row>
        <row r="44">
          <cell r="D44">
            <v>837320.35</v>
          </cell>
        </row>
        <row r="45">
          <cell r="D45">
            <v>4879078.71</v>
          </cell>
        </row>
        <row r="46">
          <cell r="D46">
            <v>165517.70000000001</v>
          </cell>
        </row>
        <row r="47">
          <cell r="D47">
            <v>474020.38</v>
          </cell>
        </row>
        <row r="48">
          <cell r="D48">
            <v>279027.5</v>
          </cell>
        </row>
        <row r="49">
          <cell r="D49">
            <v>1126572.8700000001</v>
          </cell>
        </row>
        <row r="50">
          <cell r="D50">
            <v>7714897.6200000001</v>
          </cell>
        </row>
        <row r="51">
          <cell r="D51">
            <v>244539</v>
          </cell>
        </row>
        <row r="52">
          <cell r="D52">
            <v>290845</v>
          </cell>
        </row>
        <row r="53">
          <cell r="D53">
            <v>1727289.49</v>
          </cell>
        </row>
        <row r="54">
          <cell r="D54">
            <v>944311.14</v>
          </cell>
        </row>
        <row r="55">
          <cell r="D55">
            <v>3853637.98</v>
          </cell>
        </row>
        <row r="56">
          <cell r="D56">
            <v>351680</v>
          </cell>
        </row>
        <row r="57">
          <cell r="D57">
            <v>375664.65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7">
          <cell r="D67">
            <v>5968136.0999999996</v>
          </cell>
        </row>
        <row r="68">
          <cell r="D68">
            <v>4759938.67</v>
          </cell>
        </row>
        <row r="69">
          <cell r="D69">
            <v>46165.01</v>
          </cell>
        </row>
        <row r="70">
          <cell r="D70">
            <v>4.5599999999999996</v>
          </cell>
        </row>
        <row r="71">
          <cell r="D71">
            <v>50.97</v>
          </cell>
        </row>
        <row r="72">
          <cell r="D72">
            <v>1161976.8899999999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13925764.65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3624836.73</v>
          </cell>
        </row>
        <row r="81">
          <cell r="D81">
            <v>0</v>
          </cell>
        </row>
        <row r="82">
          <cell r="D82">
            <v>16842074.289999999</v>
          </cell>
        </row>
        <row r="83">
          <cell r="D83">
            <v>43426.6</v>
          </cell>
        </row>
        <row r="88">
          <cell r="D88">
            <v>5427629.4800000004</v>
          </cell>
        </row>
        <row r="89">
          <cell r="D89">
            <v>0</v>
          </cell>
        </row>
        <row r="90">
          <cell r="D90">
            <v>358397.75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8">
          <cell r="D98">
            <v>805707848.84000003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336914531.18000001</v>
          </cell>
        </row>
        <row r="13">
          <cell r="D13">
            <v>290328328.52999997</v>
          </cell>
        </row>
        <row r="14">
          <cell r="D14">
            <v>13942088.76</v>
          </cell>
        </row>
        <row r="15">
          <cell r="D15">
            <v>10726716.960000001</v>
          </cell>
        </row>
        <row r="16">
          <cell r="D16">
            <v>8559044.7799999993</v>
          </cell>
        </row>
        <row r="17">
          <cell r="D17">
            <v>82812.399999999994</v>
          </cell>
        </row>
        <row r="18">
          <cell r="D18">
            <v>4.75</v>
          </cell>
        </row>
        <row r="19">
          <cell r="D19">
            <v>101.31</v>
          </cell>
        </row>
        <row r="20">
          <cell r="D20">
            <v>2084753.72</v>
          </cell>
        </row>
        <row r="21">
          <cell r="D21">
            <v>0</v>
          </cell>
        </row>
        <row r="22">
          <cell r="D22">
            <v>8450.9500000000007</v>
          </cell>
        </row>
        <row r="23">
          <cell r="D23">
            <v>21908945.98</v>
          </cell>
        </row>
        <row r="24">
          <cell r="D24">
            <v>0</v>
          </cell>
        </row>
        <row r="25">
          <cell r="D25">
            <v>1583373.93</v>
          </cell>
        </row>
        <row r="26">
          <cell r="D26">
            <v>387959.07</v>
          </cell>
        </row>
        <row r="27">
          <cell r="D27">
            <v>1195414.8600000001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1631113.56</v>
          </cell>
        </row>
        <row r="37">
          <cell r="D37">
            <v>1154961.71</v>
          </cell>
        </row>
        <row r="41">
          <cell r="D41">
            <v>162760916.93000001</v>
          </cell>
        </row>
        <row r="42">
          <cell r="D42">
            <v>23074839.989999998</v>
          </cell>
        </row>
        <row r="43">
          <cell r="D43">
            <v>8029192.7599999998</v>
          </cell>
        </row>
        <row r="44">
          <cell r="D44">
            <v>836692.31</v>
          </cell>
        </row>
        <row r="45">
          <cell r="D45">
            <v>902820</v>
          </cell>
        </row>
        <row r="46">
          <cell r="D46">
            <v>158957.04999999999</v>
          </cell>
        </row>
        <row r="47">
          <cell r="D47">
            <v>378656.51</v>
          </cell>
        </row>
        <row r="48">
          <cell r="D48">
            <v>97915</v>
          </cell>
        </row>
        <row r="49">
          <cell r="D49">
            <v>798947.69</v>
          </cell>
        </row>
        <row r="50">
          <cell r="D50">
            <v>8860197.1999999993</v>
          </cell>
        </row>
        <row r="51">
          <cell r="D51">
            <v>207625.75</v>
          </cell>
        </row>
        <row r="52">
          <cell r="D52">
            <v>267850</v>
          </cell>
        </row>
        <row r="53">
          <cell r="D53">
            <v>513351.46</v>
          </cell>
        </row>
        <row r="54">
          <cell r="D54">
            <v>1250566.47</v>
          </cell>
        </row>
        <row r="55">
          <cell r="D55">
            <v>776200.42</v>
          </cell>
        </row>
        <row r="56">
          <cell r="D56">
            <v>-9604</v>
          </cell>
        </row>
        <row r="57">
          <cell r="D57">
            <v>5471.37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7">
          <cell r="D67">
            <v>6458969.9699999997</v>
          </cell>
        </row>
        <row r="68">
          <cell r="D68">
            <v>5156788.8499999996</v>
          </cell>
        </row>
        <row r="69">
          <cell r="D69">
            <v>49748.91</v>
          </cell>
        </row>
        <row r="70">
          <cell r="D70">
            <v>15.98</v>
          </cell>
        </row>
        <row r="71">
          <cell r="D71">
            <v>268.72000000000003</v>
          </cell>
        </row>
        <row r="72">
          <cell r="D72">
            <v>1252147.51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13767283.35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-759660.1</v>
          </cell>
        </row>
        <row r="81">
          <cell r="D81">
            <v>1856497.67</v>
          </cell>
        </row>
        <row r="82">
          <cell r="D82">
            <v>2216358.2000000002</v>
          </cell>
        </row>
        <row r="83">
          <cell r="D83">
            <v>0</v>
          </cell>
        </row>
        <row r="88">
          <cell r="D88">
            <v>5299699.45</v>
          </cell>
        </row>
        <row r="89">
          <cell r="D89">
            <v>0</v>
          </cell>
        </row>
        <row r="90">
          <cell r="D90">
            <v>252999.71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8">
          <cell r="D98">
            <v>932063924.04999995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84660587.780000001</v>
          </cell>
        </row>
        <row r="13">
          <cell r="D13">
            <v>70374130.909999996</v>
          </cell>
        </row>
        <row r="14">
          <cell r="D14">
            <v>4366709.28</v>
          </cell>
        </row>
        <row r="15">
          <cell r="D15">
            <v>951087.38</v>
          </cell>
        </row>
        <row r="16">
          <cell r="D16">
            <v>760919.81</v>
          </cell>
        </row>
        <row r="17">
          <cell r="D17">
            <v>7347.71</v>
          </cell>
        </row>
        <row r="18">
          <cell r="D18">
            <v>1.91</v>
          </cell>
        </row>
        <row r="19">
          <cell r="D19">
            <v>37.57</v>
          </cell>
        </row>
        <row r="20">
          <cell r="D20">
            <v>182780.38</v>
          </cell>
        </row>
        <row r="22">
          <cell r="D22">
            <v>16952.509999999998</v>
          </cell>
        </row>
        <row r="23">
          <cell r="D23">
            <v>8944599.0899999999</v>
          </cell>
        </row>
        <row r="24">
          <cell r="D24">
            <v>7108.61</v>
          </cell>
        </row>
        <row r="25">
          <cell r="D25">
            <v>794334.13</v>
          </cell>
        </row>
        <row r="26">
          <cell r="D26">
            <v>735384.24</v>
          </cell>
        </row>
        <row r="28">
          <cell r="D28">
            <v>58949.89</v>
          </cell>
        </row>
        <row r="29">
          <cell r="D29">
            <v>0</v>
          </cell>
        </row>
        <row r="37">
          <cell r="D37">
            <v>629522.63</v>
          </cell>
        </row>
        <row r="38">
          <cell r="D38">
            <v>86084444.540000007</v>
          </cell>
        </row>
        <row r="41">
          <cell r="D41">
            <v>65035566.159999996</v>
          </cell>
        </row>
        <row r="42">
          <cell r="D42">
            <v>8095218.3399999999</v>
          </cell>
        </row>
        <row r="43">
          <cell r="D43">
            <v>4075510.3</v>
          </cell>
        </row>
        <row r="44">
          <cell r="D44">
            <v>491327.3</v>
          </cell>
        </row>
        <row r="45">
          <cell r="D45">
            <v>1461030.31</v>
          </cell>
        </row>
        <row r="46">
          <cell r="D46">
            <v>20500</v>
          </cell>
        </row>
        <row r="47">
          <cell r="D47">
            <v>661864.24</v>
          </cell>
        </row>
        <row r="48">
          <cell r="D48">
            <v>118026</v>
          </cell>
        </row>
        <row r="49">
          <cell r="D49">
            <v>437980.69</v>
          </cell>
        </row>
        <row r="50">
          <cell r="D50">
            <v>192536.61</v>
          </cell>
        </row>
        <row r="51">
          <cell r="D51">
            <v>83800</v>
          </cell>
        </row>
        <row r="52">
          <cell r="D52">
            <v>134900</v>
          </cell>
        </row>
        <row r="53">
          <cell r="D53">
            <v>181685.16</v>
          </cell>
        </row>
        <row r="54">
          <cell r="D54">
            <v>100269.98</v>
          </cell>
        </row>
        <row r="55">
          <cell r="D55">
            <v>88060.5</v>
          </cell>
        </row>
        <row r="56">
          <cell r="D56">
            <v>7710</v>
          </cell>
        </row>
        <row r="57">
          <cell r="D57">
            <v>40017.25</v>
          </cell>
        </row>
        <row r="65">
          <cell r="D65">
            <v>0</v>
          </cell>
        </row>
        <row r="67">
          <cell r="D67">
            <v>904608.81</v>
          </cell>
        </row>
        <row r="68">
          <cell r="D68">
            <v>722996.68</v>
          </cell>
        </row>
        <row r="69">
          <cell r="D69">
            <v>7161.56</v>
          </cell>
        </row>
        <row r="70">
          <cell r="D70">
            <v>9.1</v>
          </cell>
        </row>
        <row r="71">
          <cell r="D71">
            <v>561.88</v>
          </cell>
        </row>
        <row r="72">
          <cell r="D72">
            <v>173879.59</v>
          </cell>
        </row>
        <row r="74">
          <cell r="D74">
            <v>39275.370000000003</v>
          </cell>
        </row>
        <row r="75">
          <cell r="D75">
            <v>8555830.1699999999</v>
          </cell>
        </row>
        <row r="82">
          <cell r="D82">
            <v>1400080.36</v>
          </cell>
        </row>
        <row r="83">
          <cell r="D83">
            <v>290642.14</v>
          </cell>
        </row>
        <row r="88">
          <cell r="D88">
            <v>4271441.5999999996</v>
          </cell>
        </row>
        <row r="90">
          <cell r="D90">
            <v>903502</v>
          </cell>
        </row>
        <row r="98">
          <cell r="D98">
            <v>113116534.2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423339958.93000001</v>
          </cell>
        </row>
        <row r="13">
          <cell r="D13">
            <v>370587608.94999999</v>
          </cell>
        </row>
        <row r="14">
          <cell r="D14">
            <v>13313403.609999999</v>
          </cell>
        </row>
        <row r="15">
          <cell r="D15">
            <v>10244551</v>
          </cell>
        </row>
        <row r="16">
          <cell r="D16">
            <v>8182593.9699999997</v>
          </cell>
        </row>
        <row r="17">
          <cell r="D17">
            <v>78775.520000000004</v>
          </cell>
        </row>
        <row r="18">
          <cell r="D18">
            <v>6.24</v>
          </cell>
        </row>
        <row r="19">
          <cell r="D19">
            <v>96.5</v>
          </cell>
        </row>
        <row r="20">
          <cell r="D20">
            <v>1983078.77</v>
          </cell>
        </row>
        <row r="21">
          <cell r="D21">
            <v>0</v>
          </cell>
        </row>
        <row r="22">
          <cell r="D22">
            <v>8082.17</v>
          </cell>
        </row>
        <row r="23">
          <cell r="D23">
            <v>29186313.199999999</v>
          </cell>
        </row>
        <row r="24">
          <cell r="D24">
            <v>0</v>
          </cell>
        </row>
        <row r="25">
          <cell r="D25">
            <v>559172.16</v>
          </cell>
        </row>
        <row r="26">
          <cell r="D26">
            <v>425688.48</v>
          </cell>
        </row>
        <row r="27">
          <cell r="D27">
            <v>133483.68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1393171.03</v>
          </cell>
        </row>
        <row r="37">
          <cell r="D37">
            <v>2598178.31</v>
          </cell>
        </row>
        <row r="38">
          <cell r="D38">
            <v>427890480.43000001</v>
          </cell>
        </row>
        <row r="41">
          <cell r="D41">
            <v>308303932.98000002</v>
          </cell>
        </row>
        <row r="42">
          <cell r="D42">
            <v>37634189.350000001</v>
          </cell>
        </row>
        <row r="43">
          <cell r="D43">
            <v>10379747.99</v>
          </cell>
        </row>
        <row r="44">
          <cell r="D44">
            <v>836047.4</v>
          </cell>
        </row>
        <row r="45">
          <cell r="D45">
            <v>1891282.31</v>
          </cell>
        </row>
        <row r="46">
          <cell r="D46">
            <v>211021.29</v>
          </cell>
        </row>
        <row r="47">
          <cell r="D47">
            <v>199248.02</v>
          </cell>
        </row>
        <row r="48">
          <cell r="D48">
            <v>158913</v>
          </cell>
        </row>
        <row r="49">
          <cell r="D49">
            <v>512745.48</v>
          </cell>
        </row>
        <row r="50">
          <cell r="D50">
            <v>14899309.720000001</v>
          </cell>
        </row>
        <row r="51">
          <cell r="D51">
            <v>313486.19</v>
          </cell>
        </row>
        <row r="52">
          <cell r="D52">
            <v>292671.14</v>
          </cell>
        </row>
        <row r="53">
          <cell r="D53">
            <v>2124038.5299999998</v>
          </cell>
        </row>
        <row r="54">
          <cell r="D54">
            <v>908409.86</v>
          </cell>
        </row>
        <row r="55">
          <cell r="D55">
            <v>1670085.67</v>
          </cell>
        </row>
        <row r="56">
          <cell r="D56">
            <v>45331</v>
          </cell>
        </row>
        <row r="57">
          <cell r="D57">
            <v>3191851.75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7">
          <cell r="D67">
            <v>10736669.43</v>
          </cell>
        </row>
        <row r="68">
          <cell r="D68">
            <v>8566954.8499999996</v>
          </cell>
        </row>
        <row r="69">
          <cell r="D69">
            <v>82890.429999999993</v>
          </cell>
        </row>
        <row r="70">
          <cell r="D70">
            <v>4.75</v>
          </cell>
        </row>
        <row r="71">
          <cell r="D71">
            <v>101.31</v>
          </cell>
        </row>
        <row r="72">
          <cell r="D72">
            <v>2086718.09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21431248.260000002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-4270051.46</v>
          </cell>
        </row>
        <row r="81">
          <cell r="D81">
            <v>0</v>
          </cell>
        </row>
        <row r="82">
          <cell r="D82">
            <v>26233915.890000001</v>
          </cell>
        </row>
        <row r="83">
          <cell r="D83">
            <v>6040297.4199999999</v>
          </cell>
        </row>
        <row r="88">
          <cell r="D88">
            <v>6709504.1399999997</v>
          </cell>
        </row>
        <row r="89">
          <cell r="D89">
            <v>0</v>
          </cell>
        </row>
        <row r="90">
          <cell r="D90">
            <v>155113.15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8">
          <cell r="D98">
            <v>946979585.32000005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PELCO II</v>
          </cell>
        </row>
        <row r="12">
          <cell r="C12">
            <v>9479899877.5100002</v>
          </cell>
        </row>
        <row r="13">
          <cell r="C13">
            <v>8763918339.8099995</v>
          </cell>
        </row>
        <row r="14">
          <cell r="C14">
            <v>159602673.72</v>
          </cell>
        </row>
        <row r="15">
          <cell r="C15">
            <v>146192892.08000001</v>
          </cell>
        </row>
        <row r="16">
          <cell r="C16">
            <v>113138387.64</v>
          </cell>
        </row>
        <row r="17">
          <cell r="C17">
            <v>1304137.43</v>
          </cell>
        </row>
        <row r="18">
          <cell r="C18">
            <v>17483.8</v>
          </cell>
        </row>
        <row r="19">
          <cell r="C19">
            <v>431701.74</v>
          </cell>
        </row>
        <row r="20">
          <cell r="C20">
            <v>31301181.469999999</v>
          </cell>
        </row>
        <row r="22">
          <cell r="C22">
            <v>72044899.510000005</v>
          </cell>
        </row>
        <row r="23">
          <cell r="C23">
            <v>338141072.38999999</v>
          </cell>
        </row>
        <row r="24">
          <cell r="C24">
            <v>0</v>
          </cell>
        </row>
        <row r="25">
          <cell r="C25">
            <v>78025390.900000006</v>
          </cell>
        </row>
        <row r="26">
          <cell r="C26">
            <v>14462272.66</v>
          </cell>
        </row>
        <row r="27">
          <cell r="C27">
            <v>41899787.039999999</v>
          </cell>
        </row>
        <row r="28">
          <cell r="C28">
            <v>21663331.199999999</v>
          </cell>
        </row>
        <row r="29">
          <cell r="C29">
            <v>713131408.39999998</v>
          </cell>
        </row>
        <row r="30">
          <cell r="C30">
            <v>548096586.63999999</v>
          </cell>
        </row>
        <row r="33">
          <cell r="C33">
            <v>165034821.75999999</v>
          </cell>
        </row>
        <row r="36">
          <cell r="C36">
            <v>266370868.05000001</v>
          </cell>
        </row>
        <row r="37">
          <cell r="C37">
            <v>349743299.5</v>
          </cell>
        </row>
        <row r="38">
          <cell r="C38">
            <v>10887170844.360001</v>
          </cell>
        </row>
        <row r="41">
          <cell r="C41">
            <v>7819237236.2299995</v>
          </cell>
        </row>
        <row r="42">
          <cell r="C42">
            <v>633432160.00999999</v>
          </cell>
        </row>
        <row r="43">
          <cell r="C43">
            <v>147888474</v>
          </cell>
        </row>
        <row r="44">
          <cell r="C44">
            <v>22238966.370000001</v>
          </cell>
        </row>
        <row r="45">
          <cell r="C45">
            <v>82691582</v>
          </cell>
        </row>
        <row r="46">
          <cell r="C46">
            <v>17738263</v>
          </cell>
        </row>
        <row r="47">
          <cell r="C47">
            <v>13766662</v>
          </cell>
        </row>
        <row r="48">
          <cell r="C48">
            <v>3819398</v>
          </cell>
        </row>
        <row r="49">
          <cell r="C49">
            <v>71769894.640000001</v>
          </cell>
        </row>
        <row r="50">
          <cell r="C50">
            <v>17972169.170000002</v>
          </cell>
        </row>
        <row r="51">
          <cell r="C51">
            <v>4026000</v>
          </cell>
        </row>
        <row r="52">
          <cell r="C52">
            <v>3896400</v>
          </cell>
        </row>
        <row r="53">
          <cell r="C53">
            <v>158453235</v>
          </cell>
        </row>
        <row r="54">
          <cell r="C54">
            <v>2875492</v>
          </cell>
        </row>
        <row r="55">
          <cell r="C55">
            <v>24398390</v>
          </cell>
        </row>
        <row r="56">
          <cell r="C56">
            <v>1627630.83</v>
          </cell>
        </row>
        <row r="57">
          <cell r="C57">
            <v>60269603</v>
          </cell>
        </row>
        <row r="61">
          <cell r="C61">
            <v>224551089.87</v>
          </cell>
        </row>
        <row r="67">
          <cell r="C67">
            <v>146192892.08000001</v>
          </cell>
        </row>
        <row r="68">
          <cell r="C68">
            <v>113138387.64</v>
          </cell>
        </row>
        <row r="69">
          <cell r="C69">
            <v>1304137.43</v>
          </cell>
        </row>
        <row r="70">
          <cell r="C70">
            <v>17483.8</v>
          </cell>
        </row>
        <row r="71">
          <cell r="C71">
            <v>431701.74</v>
          </cell>
        </row>
        <row r="72">
          <cell r="C72">
            <v>31301181.469999999</v>
          </cell>
        </row>
        <row r="74">
          <cell r="C74">
            <v>72044899.510000005</v>
          </cell>
        </row>
        <row r="75">
          <cell r="C75">
            <v>338141072.38999999</v>
          </cell>
        </row>
        <row r="77">
          <cell r="C77">
            <v>100928932.26000001</v>
          </cell>
        </row>
        <row r="78">
          <cell r="C78">
            <v>133001413.02</v>
          </cell>
        </row>
        <row r="82">
          <cell r="C82">
            <v>764838473.12</v>
          </cell>
        </row>
        <row r="83">
          <cell r="C83">
            <v>165034821.75999999</v>
          </cell>
        </row>
        <row r="90">
          <cell r="C90">
            <v>80713119.75</v>
          </cell>
        </row>
        <row r="97">
          <cell r="C97">
            <v>283311506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PELCO III</v>
          </cell>
        </row>
        <row r="12">
          <cell r="C12">
            <v>4362799085</v>
          </cell>
        </row>
        <row r="13">
          <cell r="C13">
            <v>4165358036</v>
          </cell>
        </row>
        <row r="14">
          <cell r="C14">
            <v>50580084</v>
          </cell>
        </row>
        <row r="15">
          <cell r="C15">
            <v>74237079</v>
          </cell>
        </row>
        <row r="16">
          <cell r="C16">
            <v>59409655.229999997</v>
          </cell>
        </row>
        <row r="17">
          <cell r="C17">
            <v>566440.91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14260982.859999999</v>
          </cell>
        </row>
        <row r="21">
          <cell r="C21">
            <v>0</v>
          </cell>
        </row>
        <row r="22">
          <cell r="C22">
            <v>31329256</v>
          </cell>
        </row>
        <row r="23">
          <cell r="C23">
            <v>41294630</v>
          </cell>
        </row>
        <row r="24">
          <cell r="C24">
            <v>0</v>
          </cell>
        </row>
        <row r="25">
          <cell r="C25">
            <v>70000000</v>
          </cell>
        </row>
        <row r="26">
          <cell r="C26">
            <v>20000000</v>
          </cell>
        </row>
        <row r="27">
          <cell r="C27">
            <v>0</v>
          </cell>
        </row>
        <row r="28">
          <cell r="C28">
            <v>50000000</v>
          </cell>
        </row>
        <row r="29">
          <cell r="C29">
            <v>214962842</v>
          </cell>
        </row>
        <row r="30">
          <cell r="C30">
            <v>0</v>
          </cell>
        </row>
        <row r="31">
          <cell r="C31">
            <v>13000000</v>
          </cell>
        </row>
        <row r="32">
          <cell r="C32">
            <v>201962842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30000000</v>
          </cell>
        </row>
        <row r="38">
          <cell r="C38">
            <v>4677761927</v>
          </cell>
        </row>
        <row r="41">
          <cell r="C41">
            <v>3939718730</v>
          </cell>
        </row>
        <row r="42">
          <cell r="C42">
            <v>242721906</v>
          </cell>
        </row>
        <row r="43">
          <cell r="C43">
            <v>130916604</v>
          </cell>
        </row>
        <row r="44">
          <cell r="C44">
            <v>11141033</v>
          </cell>
        </row>
        <row r="45">
          <cell r="C45">
            <v>14322000</v>
          </cell>
        </row>
        <row r="46">
          <cell r="C46">
            <v>4579200</v>
          </cell>
        </row>
        <row r="47">
          <cell r="C47">
            <v>7807069</v>
          </cell>
        </row>
        <row r="48">
          <cell r="C48">
            <v>563200</v>
          </cell>
        </row>
        <row r="49">
          <cell r="C49">
            <v>3875000</v>
          </cell>
        </row>
        <row r="50">
          <cell r="C50">
            <v>6300000</v>
          </cell>
        </row>
        <row r="51">
          <cell r="C51">
            <v>1968000</v>
          </cell>
        </row>
        <row r="52">
          <cell r="C52">
            <v>4490400</v>
          </cell>
        </row>
        <row r="53">
          <cell r="C53">
            <v>29180000</v>
          </cell>
        </row>
        <row r="54">
          <cell r="C54">
            <v>3179000</v>
          </cell>
        </row>
        <row r="55">
          <cell r="C55">
            <v>17225000</v>
          </cell>
        </row>
        <row r="56">
          <cell r="C56">
            <v>4175400</v>
          </cell>
        </row>
        <row r="57">
          <cell r="C57">
            <v>3000000</v>
          </cell>
        </row>
        <row r="60">
          <cell r="C60">
            <v>17677272</v>
          </cell>
        </row>
        <row r="61">
          <cell r="C61">
            <v>5846586</v>
          </cell>
        </row>
        <row r="62">
          <cell r="C62">
            <v>31007537</v>
          </cell>
        </row>
        <row r="63">
          <cell r="C63">
            <v>119437727</v>
          </cell>
        </row>
        <row r="64">
          <cell r="C64">
            <v>25000000</v>
          </cell>
        </row>
        <row r="67">
          <cell r="C67">
            <v>74237079</v>
          </cell>
        </row>
        <row r="68">
          <cell r="C68">
            <v>59409655.229999997</v>
          </cell>
        </row>
        <row r="69">
          <cell r="C69">
            <v>566440.91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14260982.859999999</v>
          </cell>
        </row>
        <row r="73">
          <cell r="C73">
            <v>0</v>
          </cell>
        </row>
        <row r="74">
          <cell r="C74">
            <v>31329256</v>
          </cell>
        </row>
        <row r="75">
          <cell r="C75">
            <v>41294630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81">
          <cell r="C81">
            <v>0</v>
          </cell>
        </row>
        <row r="82">
          <cell r="C82">
            <v>205287843</v>
          </cell>
        </row>
        <row r="83">
          <cell r="C83">
            <v>56605000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14000000</v>
          </cell>
        </row>
        <row r="91">
          <cell r="C91">
            <v>0</v>
          </cell>
        </row>
        <row r="92">
          <cell r="C92">
            <v>10000000</v>
          </cell>
        </row>
        <row r="93">
          <cell r="C93">
            <v>0</v>
          </cell>
        </row>
        <row r="94">
          <cell r="C94">
            <v>0</v>
          </cell>
        </row>
        <row r="97">
          <cell r="C97">
            <v>137152268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PENELCO</v>
          </cell>
        </row>
        <row r="12">
          <cell r="C12">
            <v>6175628717</v>
          </cell>
        </row>
        <row r="13">
          <cell r="C13">
            <v>5528734778</v>
          </cell>
        </row>
        <row r="14">
          <cell r="C14">
            <v>202857928</v>
          </cell>
        </row>
        <row r="15">
          <cell r="C15">
            <v>221170438</v>
          </cell>
        </row>
        <row r="16">
          <cell r="C16">
            <v>176995911.56</v>
          </cell>
        </row>
        <row r="17">
          <cell r="C17">
            <v>1687566.18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42486960.259999998</v>
          </cell>
        </row>
        <row r="22">
          <cell r="C22">
            <v>77900640</v>
          </cell>
        </row>
        <row r="23">
          <cell r="C23">
            <v>143286734</v>
          </cell>
        </row>
        <row r="24">
          <cell r="C24">
            <v>1678199</v>
          </cell>
        </row>
        <row r="25">
          <cell r="C25">
            <v>205431554</v>
          </cell>
        </row>
        <row r="26">
          <cell r="C26">
            <v>36462710</v>
          </cell>
        </row>
        <row r="28">
          <cell r="C28">
            <v>168968844</v>
          </cell>
        </row>
        <row r="29">
          <cell r="C29">
            <v>194800000</v>
          </cell>
        </row>
        <row r="31">
          <cell r="C31">
            <v>194800000</v>
          </cell>
        </row>
        <row r="34">
          <cell r="C34">
            <v>41791705</v>
          </cell>
        </row>
        <row r="36">
          <cell r="C36">
            <v>0</v>
          </cell>
        </row>
        <row r="37">
          <cell r="C37">
            <v>8499696</v>
          </cell>
        </row>
        <row r="38">
          <cell r="C38">
            <v>6626151672</v>
          </cell>
        </row>
        <row r="41">
          <cell r="C41">
            <v>4871501042</v>
          </cell>
        </row>
        <row r="42">
          <cell r="C42">
            <v>759672235</v>
          </cell>
        </row>
        <row r="43">
          <cell r="C43">
            <v>261063695</v>
          </cell>
        </row>
        <row r="44">
          <cell r="C44">
            <v>29316000</v>
          </cell>
        </row>
        <row r="45">
          <cell r="C45">
            <v>162795517</v>
          </cell>
        </row>
        <row r="46">
          <cell r="C46">
            <v>16274116</v>
          </cell>
        </row>
        <row r="47">
          <cell r="C47">
            <v>20782211</v>
          </cell>
        </row>
        <row r="48">
          <cell r="C48">
            <v>2414400</v>
          </cell>
        </row>
        <row r="49">
          <cell r="C49">
            <v>20000000</v>
          </cell>
        </row>
        <row r="50">
          <cell r="C50">
            <v>26456000</v>
          </cell>
        </row>
        <row r="51">
          <cell r="C51">
            <v>6522000</v>
          </cell>
        </row>
        <row r="52">
          <cell r="C52">
            <v>7660800</v>
          </cell>
        </row>
        <row r="53">
          <cell r="C53">
            <v>106112968</v>
          </cell>
        </row>
        <row r="54">
          <cell r="C54">
            <v>7500000</v>
          </cell>
        </row>
        <row r="55">
          <cell r="C55">
            <v>39100000</v>
          </cell>
        </row>
        <row r="56">
          <cell r="C56">
            <v>36646728</v>
          </cell>
        </row>
        <row r="57">
          <cell r="C57">
            <v>17027800</v>
          </cell>
        </row>
        <row r="60">
          <cell r="C60">
            <v>0</v>
          </cell>
        </row>
        <row r="61">
          <cell r="C61">
            <v>19769505</v>
          </cell>
        </row>
        <row r="62">
          <cell r="C62">
            <v>8084830</v>
          </cell>
        </row>
        <row r="67">
          <cell r="C67">
            <v>243859495</v>
          </cell>
        </row>
        <row r="68">
          <cell r="C68">
            <v>195153267.31999999</v>
          </cell>
        </row>
        <row r="69">
          <cell r="C69">
            <v>1860687.35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46845540.329999998</v>
          </cell>
        </row>
        <row r="74">
          <cell r="C74">
            <v>77900640</v>
          </cell>
        </row>
        <row r="75">
          <cell r="C75">
            <v>143286734</v>
          </cell>
        </row>
        <row r="76">
          <cell r="C76">
            <v>1830228</v>
          </cell>
        </row>
        <row r="77">
          <cell r="C77">
            <v>0</v>
          </cell>
        </row>
        <row r="78">
          <cell r="C78">
            <v>17054250</v>
          </cell>
        </row>
        <row r="81">
          <cell r="C81">
            <v>41791705</v>
          </cell>
        </row>
        <row r="82">
          <cell r="C82">
            <v>402132241</v>
          </cell>
        </row>
        <row r="83">
          <cell r="C83">
            <v>95065017</v>
          </cell>
        </row>
        <row r="90">
          <cell r="C90">
            <v>48000000</v>
          </cell>
        </row>
        <row r="94">
          <cell r="C94">
            <v>12360000</v>
          </cell>
        </row>
        <row r="97">
          <cell r="C97">
            <v>334564461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Accounting of Universal Charges"/>
      <sheetName val="SCF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C2" t="str">
            <v>PRESCO</v>
          </cell>
        </row>
        <row r="12">
          <cell r="C12">
            <v>1415951888</v>
          </cell>
        </row>
        <row r="13">
          <cell r="C13">
            <v>1230230615</v>
          </cell>
        </row>
        <row r="14">
          <cell r="C14">
            <v>20279461</v>
          </cell>
        </row>
        <row r="15">
          <cell r="C15">
            <v>17811395</v>
          </cell>
        </row>
        <row r="16">
          <cell r="C16">
            <v>17811395</v>
          </cell>
        </row>
        <row r="22">
          <cell r="C22">
            <v>7991113</v>
          </cell>
        </row>
        <row r="23">
          <cell r="C23">
            <v>139639304</v>
          </cell>
        </row>
        <row r="25">
          <cell r="C25">
            <v>13000000</v>
          </cell>
        </row>
        <row r="26">
          <cell r="C26">
            <v>4000000</v>
          </cell>
        </row>
        <row r="27">
          <cell r="C27">
            <v>6000000</v>
          </cell>
        </row>
        <row r="28">
          <cell r="C28">
            <v>3000000</v>
          </cell>
        </row>
        <row r="29">
          <cell r="C29">
            <v>255469461</v>
          </cell>
        </row>
        <row r="31">
          <cell r="C31">
            <v>255469461</v>
          </cell>
        </row>
        <row r="38">
          <cell r="C38">
            <v>1684421349</v>
          </cell>
        </row>
        <row r="41">
          <cell r="C41">
            <v>1047480023</v>
          </cell>
        </row>
        <row r="42">
          <cell r="C42">
            <v>105021283</v>
          </cell>
        </row>
        <row r="43">
          <cell r="C43">
            <v>47429526</v>
          </cell>
        </row>
        <row r="44">
          <cell r="C44">
            <v>2775672</v>
          </cell>
        </row>
        <row r="45">
          <cell r="C45">
            <v>10558136</v>
          </cell>
        </row>
        <row r="46">
          <cell r="C46">
            <v>931400</v>
          </cell>
        </row>
        <row r="47">
          <cell r="C47">
            <v>5206578</v>
          </cell>
        </row>
        <row r="48">
          <cell r="C48">
            <v>1709400</v>
          </cell>
        </row>
        <row r="49">
          <cell r="C49">
            <v>6739440</v>
          </cell>
        </row>
        <row r="50">
          <cell r="C50">
            <v>1975000</v>
          </cell>
        </row>
        <row r="51">
          <cell r="C51">
            <v>1750800</v>
          </cell>
        </row>
        <row r="52">
          <cell r="C52">
            <v>1468800</v>
          </cell>
        </row>
        <row r="53">
          <cell r="C53">
            <v>5590000</v>
          </cell>
        </row>
        <row r="54">
          <cell r="C54">
            <v>4223750</v>
          </cell>
        </row>
        <row r="55">
          <cell r="C55">
            <v>12387000</v>
          </cell>
        </row>
        <row r="56">
          <cell r="C56">
            <v>875781</v>
          </cell>
        </row>
        <row r="57">
          <cell r="C57">
            <v>1400000</v>
          </cell>
        </row>
        <row r="60">
          <cell r="C60">
            <v>22127240</v>
          </cell>
        </row>
        <row r="61">
          <cell r="C61">
            <v>2100520</v>
          </cell>
        </row>
        <row r="67">
          <cell r="C67">
            <v>17811395</v>
          </cell>
        </row>
        <row r="68">
          <cell r="C68">
            <v>17811395</v>
          </cell>
        </row>
        <row r="74">
          <cell r="C74">
            <v>14246881</v>
          </cell>
        </row>
        <row r="75">
          <cell r="C75">
            <v>139639304</v>
          </cell>
        </row>
        <row r="82">
          <cell r="C82">
            <v>211007761</v>
          </cell>
        </row>
        <row r="83">
          <cell r="C83">
            <v>44461700</v>
          </cell>
        </row>
        <row r="88">
          <cell r="C88">
            <v>20279461</v>
          </cell>
        </row>
        <row r="90">
          <cell r="C90">
            <v>30000000</v>
          </cell>
        </row>
        <row r="91">
          <cell r="C91">
            <v>1000000</v>
          </cell>
        </row>
        <row r="92">
          <cell r="C92">
            <v>2000000</v>
          </cell>
        </row>
        <row r="94">
          <cell r="C94">
            <v>4000000</v>
          </cell>
        </row>
        <row r="97">
          <cell r="C97">
            <v>37999678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SAJELCO</v>
          </cell>
        </row>
        <row r="12">
          <cell r="C12">
            <v>997832850.37</v>
          </cell>
        </row>
        <row r="13">
          <cell r="C13">
            <v>831215517.96000004</v>
          </cell>
        </row>
        <row r="14">
          <cell r="C14">
            <v>24767127</v>
          </cell>
        </row>
        <row r="15">
          <cell r="C15">
            <v>31794714</v>
          </cell>
        </row>
        <row r="16">
          <cell r="C16">
            <v>20275384.5</v>
          </cell>
        </row>
        <row r="17">
          <cell r="C17">
            <v>193315.5</v>
          </cell>
        </row>
        <row r="18">
          <cell r="C18">
            <v>284287.5</v>
          </cell>
        </row>
        <row r="19">
          <cell r="C19">
            <v>4867002</v>
          </cell>
        </row>
        <row r="20">
          <cell r="C20">
            <v>6174724.5</v>
          </cell>
        </row>
        <row r="22">
          <cell r="C22">
            <v>11178184.5</v>
          </cell>
        </row>
        <row r="23">
          <cell r="C23">
            <v>98877306.909999996</v>
          </cell>
        </row>
        <row r="25">
          <cell r="C25">
            <v>29365000</v>
          </cell>
        </row>
        <row r="26">
          <cell r="C26">
            <v>8365000</v>
          </cell>
        </row>
        <row r="27">
          <cell r="C27">
            <v>21000000</v>
          </cell>
        </row>
        <row r="29">
          <cell r="C29">
            <v>0</v>
          </cell>
        </row>
        <row r="35">
          <cell r="C35">
            <v>1500000</v>
          </cell>
        </row>
        <row r="36">
          <cell r="C36">
            <v>32431749</v>
          </cell>
        </row>
        <row r="37">
          <cell r="C37">
            <v>5000000</v>
          </cell>
        </row>
        <row r="38">
          <cell r="C38">
            <v>1066129599.37</v>
          </cell>
        </row>
        <row r="41">
          <cell r="C41">
            <v>836759721.52999997</v>
          </cell>
        </row>
        <row r="42">
          <cell r="C42">
            <v>150154488.94</v>
          </cell>
        </row>
        <row r="43">
          <cell r="C43">
            <v>66601040.640000001</v>
          </cell>
        </row>
        <row r="44">
          <cell r="C44">
            <v>5671323.5999999996</v>
          </cell>
        </row>
        <row r="45">
          <cell r="C45">
            <v>44826924.700000003</v>
          </cell>
        </row>
        <row r="46">
          <cell r="C46">
            <v>3220000</v>
          </cell>
        </row>
        <row r="47">
          <cell r="C47">
            <v>1850000</v>
          </cell>
        </row>
        <row r="48">
          <cell r="C48">
            <v>1050000</v>
          </cell>
        </row>
        <row r="49">
          <cell r="C49">
            <v>2000000</v>
          </cell>
        </row>
        <row r="50">
          <cell r="C50">
            <v>3910000</v>
          </cell>
        </row>
        <row r="51">
          <cell r="C51">
            <v>2906400</v>
          </cell>
        </row>
        <row r="52">
          <cell r="C52">
            <v>3228800</v>
          </cell>
        </row>
        <row r="53">
          <cell r="C53">
            <v>2900000</v>
          </cell>
        </row>
        <row r="54">
          <cell r="C54">
            <v>1100000</v>
          </cell>
        </row>
        <row r="55">
          <cell r="C55">
            <v>8090000</v>
          </cell>
        </row>
        <row r="56">
          <cell r="C56">
            <v>2205000</v>
          </cell>
        </row>
        <row r="57">
          <cell r="C57">
            <v>595000</v>
          </cell>
        </row>
        <row r="64">
          <cell r="C64">
            <v>8750000</v>
          </cell>
        </row>
        <row r="67">
          <cell r="C67">
            <v>31794714</v>
          </cell>
        </row>
        <row r="68">
          <cell r="C68">
            <v>20275384.5</v>
          </cell>
        </row>
        <row r="69">
          <cell r="C69">
            <v>193315.5</v>
          </cell>
        </row>
        <row r="70">
          <cell r="C70">
            <v>284287.5</v>
          </cell>
        </row>
        <row r="71">
          <cell r="C71">
            <v>6174724.5</v>
          </cell>
        </row>
        <row r="72">
          <cell r="C72">
            <v>4867002</v>
          </cell>
        </row>
        <row r="74">
          <cell r="C74">
            <v>11178184.5</v>
          </cell>
        </row>
        <row r="75">
          <cell r="C75">
            <v>14482616.710000001</v>
          </cell>
        </row>
        <row r="77">
          <cell r="C77">
            <v>1000000</v>
          </cell>
        </row>
        <row r="78">
          <cell r="C78">
            <v>1000000</v>
          </cell>
        </row>
        <row r="82">
          <cell r="C82">
            <v>94660898.5</v>
          </cell>
        </row>
        <row r="83">
          <cell r="C83">
            <v>11844000</v>
          </cell>
        </row>
        <row r="90">
          <cell r="C90">
            <v>4500000</v>
          </cell>
        </row>
        <row r="97">
          <cell r="C97">
            <v>100000000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TARELCO I</v>
          </cell>
        </row>
        <row r="12">
          <cell r="C12">
            <v>5958425278.8000002</v>
          </cell>
        </row>
        <row r="13">
          <cell r="C13">
            <v>5257197788</v>
          </cell>
        </row>
        <row r="14">
          <cell r="C14">
            <v>142387242</v>
          </cell>
        </row>
        <row r="15">
          <cell r="C15">
            <v>83938495.590000004</v>
          </cell>
        </row>
        <row r="16">
          <cell r="C16">
            <v>65158892.5</v>
          </cell>
        </row>
        <row r="17">
          <cell r="C17">
            <v>717423.04</v>
          </cell>
        </row>
        <row r="20">
          <cell r="C20">
            <v>18062180.050000001</v>
          </cell>
        </row>
        <row r="22">
          <cell r="C22">
            <v>41483932.210000001</v>
          </cell>
        </row>
        <row r="23">
          <cell r="C23">
            <v>389935965</v>
          </cell>
        </row>
        <row r="24">
          <cell r="C24">
            <v>43481856</v>
          </cell>
        </row>
        <row r="25">
          <cell r="C25">
            <v>276612853</v>
          </cell>
        </row>
        <row r="26">
          <cell r="C26">
            <v>115562952</v>
          </cell>
        </row>
        <row r="28">
          <cell r="C28">
            <v>161049901</v>
          </cell>
        </row>
        <row r="29">
          <cell r="C29">
            <v>601294866</v>
          </cell>
        </row>
        <row r="30">
          <cell r="C30">
            <v>601294866</v>
          </cell>
        </row>
        <row r="36">
          <cell r="C36">
            <v>692744167</v>
          </cell>
        </row>
        <row r="38">
          <cell r="C38">
            <v>7529077164.8000002</v>
          </cell>
        </row>
        <row r="41">
          <cell r="C41">
            <v>4669738254</v>
          </cell>
        </row>
        <row r="42">
          <cell r="C42">
            <v>425844747</v>
          </cell>
        </row>
        <row r="43">
          <cell r="C43">
            <v>202543616</v>
          </cell>
        </row>
        <row r="44">
          <cell r="C44">
            <v>15165744</v>
          </cell>
        </row>
        <row r="45">
          <cell r="C45">
            <v>114805096</v>
          </cell>
        </row>
        <row r="46">
          <cell r="C46">
            <v>2878665</v>
          </cell>
        </row>
        <row r="47">
          <cell r="C47">
            <v>5200000</v>
          </cell>
        </row>
        <row r="48">
          <cell r="C48">
            <v>1230000</v>
          </cell>
        </row>
        <row r="49">
          <cell r="C49">
            <v>12544479</v>
          </cell>
        </row>
        <row r="50">
          <cell r="C50">
            <v>9210000</v>
          </cell>
        </row>
        <row r="51">
          <cell r="C51">
            <v>4120000</v>
          </cell>
        </row>
        <row r="52">
          <cell r="C52">
            <v>3156000</v>
          </cell>
        </row>
        <row r="53">
          <cell r="C53">
            <v>14192000</v>
          </cell>
        </row>
        <row r="54">
          <cell r="C54">
            <v>3316000</v>
          </cell>
        </row>
        <row r="55">
          <cell r="C55">
            <v>29680600</v>
          </cell>
        </row>
        <row r="56">
          <cell r="C56">
            <v>1813547</v>
          </cell>
        </row>
        <row r="57">
          <cell r="C57">
            <v>5989000</v>
          </cell>
        </row>
        <row r="60">
          <cell r="C60">
            <v>42449301</v>
          </cell>
        </row>
        <row r="67">
          <cell r="C67">
            <v>83938495.590000004</v>
          </cell>
        </row>
        <row r="68">
          <cell r="C68">
            <v>65158892.5</v>
          </cell>
        </row>
        <row r="69">
          <cell r="C69">
            <v>717423.04</v>
          </cell>
        </row>
        <row r="72">
          <cell r="C72">
            <v>18062180.050000001</v>
          </cell>
        </row>
        <row r="74">
          <cell r="C74">
            <v>41483932.210000001</v>
          </cell>
        </row>
        <row r="75">
          <cell r="C75">
            <v>389935965</v>
          </cell>
        </row>
        <row r="82">
          <cell r="C82">
            <v>610314289</v>
          </cell>
        </row>
        <row r="83">
          <cell r="C83">
            <v>73057750</v>
          </cell>
        </row>
        <row r="88">
          <cell r="C88">
            <v>743682108</v>
          </cell>
        </row>
        <row r="90">
          <cell r="C90">
            <v>49000000</v>
          </cell>
        </row>
        <row r="97">
          <cell r="C97">
            <v>258544485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TARELCO II</v>
          </cell>
        </row>
        <row r="12">
          <cell r="C12">
            <v>5574009195.9899998</v>
          </cell>
        </row>
        <row r="13">
          <cell r="C13">
            <v>5253878217</v>
          </cell>
        </row>
        <row r="14">
          <cell r="C14">
            <v>123771778</v>
          </cell>
        </row>
        <row r="15">
          <cell r="C15">
            <v>160716662.99000001</v>
          </cell>
        </row>
        <row r="16">
          <cell r="C16">
            <v>85752144.450000003</v>
          </cell>
        </row>
        <row r="17">
          <cell r="C17">
            <v>817603.19</v>
          </cell>
        </row>
        <row r="20">
          <cell r="C20">
            <v>20584362.16</v>
          </cell>
        </row>
        <row r="21">
          <cell r="C21">
            <v>53562553.189999998</v>
          </cell>
        </row>
        <row r="22">
          <cell r="C22">
            <v>35642538</v>
          </cell>
        </row>
        <row r="25">
          <cell r="C25">
            <v>40000000</v>
          </cell>
        </row>
        <row r="26">
          <cell r="C26">
            <v>20000000</v>
          </cell>
        </row>
        <row r="27">
          <cell r="C27">
            <v>20000000</v>
          </cell>
        </row>
        <row r="29">
          <cell r="C29">
            <v>0</v>
          </cell>
        </row>
        <row r="37">
          <cell r="C37">
            <v>640143571</v>
          </cell>
        </row>
        <row r="38">
          <cell r="C38">
            <v>6254152766.9899998</v>
          </cell>
        </row>
        <row r="41">
          <cell r="C41">
            <v>4660695264</v>
          </cell>
        </row>
        <row r="42">
          <cell r="C42">
            <v>456187186.70999998</v>
          </cell>
        </row>
        <row r="43">
          <cell r="C43">
            <v>156698735.28</v>
          </cell>
        </row>
        <row r="44">
          <cell r="C44">
            <v>9031200</v>
          </cell>
        </row>
        <row r="45">
          <cell r="C45">
            <v>59184044</v>
          </cell>
        </row>
        <row r="46">
          <cell r="C46">
            <v>18420000</v>
          </cell>
        </row>
        <row r="47">
          <cell r="C47">
            <v>12524857.43</v>
          </cell>
        </row>
        <row r="48">
          <cell r="C48">
            <v>5078950</v>
          </cell>
        </row>
        <row r="49">
          <cell r="C49">
            <v>12905500</v>
          </cell>
        </row>
        <row r="50">
          <cell r="C50">
            <v>24000000</v>
          </cell>
        </row>
        <row r="51">
          <cell r="C51">
            <v>1440000</v>
          </cell>
        </row>
        <row r="52">
          <cell r="C52">
            <v>3845400</v>
          </cell>
        </row>
        <row r="53">
          <cell r="C53">
            <v>49202000</v>
          </cell>
        </row>
        <row r="54">
          <cell r="C54">
            <v>8911700</v>
          </cell>
        </row>
        <row r="55">
          <cell r="C55">
            <v>73941000</v>
          </cell>
        </row>
        <row r="56">
          <cell r="C56">
            <v>9764900</v>
          </cell>
        </row>
        <row r="57">
          <cell r="C57">
            <v>11238900</v>
          </cell>
        </row>
        <row r="67">
          <cell r="C67">
            <v>167367740</v>
          </cell>
        </row>
        <row r="68">
          <cell r="C68">
            <v>89300899.790000007</v>
          </cell>
        </row>
        <row r="69">
          <cell r="C69">
            <v>851438.77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21436222.670000002</v>
          </cell>
        </row>
        <row r="73">
          <cell r="C73">
            <v>55779178.770000003</v>
          </cell>
        </row>
        <row r="74">
          <cell r="C74">
            <v>37117564</v>
          </cell>
        </row>
        <row r="75">
          <cell r="C75">
            <v>6029393</v>
          </cell>
        </row>
        <row r="76">
          <cell r="C76">
            <v>18779113</v>
          </cell>
        </row>
        <row r="82">
          <cell r="C82">
            <v>195917747</v>
          </cell>
        </row>
        <row r="83">
          <cell r="C83">
            <v>657534804</v>
          </cell>
        </row>
        <row r="90">
          <cell r="C90">
            <v>40000000</v>
          </cell>
        </row>
        <row r="97">
          <cell r="C97">
            <v>320026137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SCAR"/>
      <sheetName val="Accounting of Universal Charges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ZAMECO I</v>
          </cell>
        </row>
        <row r="12">
          <cell r="C12">
            <v>2956762136.3600001</v>
          </cell>
        </row>
        <row r="13">
          <cell r="C13">
            <v>2553054853.3400002</v>
          </cell>
        </row>
        <row r="14">
          <cell r="C14">
            <v>42133631.049999997</v>
          </cell>
        </row>
        <row r="15">
          <cell r="C15">
            <v>39185097.130000003</v>
          </cell>
        </row>
        <row r="16">
          <cell r="C16">
            <v>26025641.940000001</v>
          </cell>
        </row>
        <row r="17">
          <cell r="C17">
            <v>374744.74</v>
          </cell>
        </row>
        <row r="18">
          <cell r="C18">
            <v>0</v>
          </cell>
        </row>
        <row r="19">
          <cell r="C19">
            <v>5503026.7599999998</v>
          </cell>
        </row>
        <row r="20">
          <cell r="C20">
            <v>7281683.6900000004</v>
          </cell>
        </row>
        <row r="21">
          <cell r="C21">
            <v>0</v>
          </cell>
        </row>
        <row r="22">
          <cell r="C22">
            <v>16188940.18</v>
          </cell>
        </row>
        <row r="23">
          <cell r="C23">
            <v>306199614.66000003</v>
          </cell>
        </row>
        <row r="25">
          <cell r="C25">
            <v>90414458.760000005</v>
          </cell>
        </row>
        <row r="26">
          <cell r="C26">
            <v>4835393.45</v>
          </cell>
        </row>
        <row r="27">
          <cell r="C27">
            <v>37827182.189999998</v>
          </cell>
        </row>
        <row r="28">
          <cell r="C28">
            <v>47751883.119999997</v>
          </cell>
        </row>
        <row r="29">
          <cell r="C29">
            <v>21000000</v>
          </cell>
        </row>
        <row r="30">
          <cell r="C30">
            <v>21000000</v>
          </cell>
        </row>
        <row r="34">
          <cell r="C34">
            <v>21657102.170000002</v>
          </cell>
        </row>
        <row r="36">
          <cell r="C36">
            <v>13901506.970000001</v>
          </cell>
        </row>
        <row r="37">
          <cell r="C37">
            <v>1969495.22</v>
          </cell>
        </row>
        <row r="38">
          <cell r="C38">
            <v>3105704699.48</v>
          </cell>
        </row>
        <row r="41">
          <cell r="C41">
            <v>2308844823.9299998</v>
          </cell>
        </row>
        <row r="42">
          <cell r="C42">
            <v>197621863.75999999</v>
          </cell>
        </row>
        <row r="43">
          <cell r="C43">
            <v>94080366.680000007</v>
          </cell>
        </row>
        <row r="44">
          <cell r="C44">
            <v>7566560.8799999999</v>
          </cell>
        </row>
        <row r="45">
          <cell r="C45">
            <v>37071911.329999998</v>
          </cell>
        </row>
        <row r="46">
          <cell r="C46">
            <v>1870335</v>
          </cell>
        </row>
        <row r="47">
          <cell r="C47">
            <v>5314042</v>
          </cell>
        </row>
        <row r="48">
          <cell r="C48">
            <v>2780000</v>
          </cell>
        </row>
        <row r="49">
          <cell r="C49">
            <v>7399300</v>
          </cell>
        </row>
        <row r="50">
          <cell r="C50">
            <v>3721280</v>
          </cell>
        </row>
        <row r="51">
          <cell r="C51">
            <v>1917000</v>
          </cell>
        </row>
        <row r="52">
          <cell r="C52">
            <v>2577600</v>
          </cell>
        </row>
        <row r="53">
          <cell r="C53">
            <v>16924916.870000001</v>
          </cell>
        </row>
        <row r="54">
          <cell r="C54">
            <v>1261200</v>
          </cell>
        </row>
        <row r="55">
          <cell r="C55">
            <v>9393000</v>
          </cell>
        </row>
        <row r="56">
          <cell r="C56">
            <v>955200</v>
          </cell>
        </row>
        <row r="57">
          <cell r="C57">
            <v>4789151</v>
          </cell>
        </row>
        <row r="60">
          <cell r="C60">
            <v>13677176.539999999</v>
          </cell>
        </row>
        <row r="61">
          <cell r="C61">
            <v>5056086</v>
          </cell>
        </row>
        <row r="64">
          <cell r="C64">
            <v>24600000</v>
          </cell>
        </row>
        <row r="67">
          <cell r="C67">
            <v>41154592.350000001</v>
          </cell>
        </row>
        <row r="68">
          <cell r="C68">
            <v>26025641.940000001</v>
          </cell>
        </row>
        <row r="69">
          <cell r="C69">
            <v>374744.74</v>
          </cell>
        </row>
        <row r="70">
          <cell r="C70">
            <v>0</v>
          </cell>
        </row>
        <row r="71">
          <cell r="C71">
            <v>5503026.7599999998</v>
          </cell>
        </row>
        <row r="72">
          <cell r="C72">
            <v>7281683.6900000004</v>
          </cell>
        </row>
        <row r="73">
          <cell r="C73">
            <v>1969495.22</v>
          </cell>
        </row>
        <row r="74">
          <cell r="C74">
            <v>16188940.18</v>
          </cell>
        </row>
        <row r="75">
          <cell r="C75">
            <v>306199614.66000003</v>
          </cell>
        </row>
        <row r="78">
          <cell r="C78">
            <v>2282700</v>
          </cell>
        </row>
        <row r="81">
          <cell r="C81">
            <v>21657102.170000002</v>
          </cell>
        </row>
        <row r="82">
          <cell r="C82">
            <v>67017413.460000001</v>
          </cell>
        </row>
        <row r="83">
          <cell r="C83">
            <v>23310931</v>
          </cell>
        </row>
        <row r="90">
          <cell r="C90">
            <v>22886560</v>
          </cell>
        </row>
        <row r="94">
          <cell r="C94">
            <v>1027893.19</v>
          </cell>
        </row>
        <row r="97">
          <cell r="C97">
            <v>193014305.77000001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FP- Output Report"/>
      <sheetName val="SOO 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ZAMECO II</v>
          </cell>
        </row>
        <row r="12">
          <cell r="C12">
            <v>4277455949.9299998</v>
          </cell>
        </row>
        <row r="13">
          <cell r="C13">
            <v>3706061822</v>
          </cell>
        </row>
        <row r="14">
          <cell r="C14">
            <v>47966827</v>
          </cell>
        </row>
        <row r="15">
          <cell r="C15">
            <v>38612052.93</v>
          </cell>
        </row>
        <row r="16">
          <cell r="C16">
            <v>30101192.399999999</v>
          </cell>
        </row>
        <row r="17">
          <cell r="C17">
            <v>325134</v>
          </cell>
        </row>
        <row r="20">
          <cell r="C20">
            <v>8185726.5300000003</v>
          </cell>
        </row>
        <row r="22">
          <cell r="C22">
            <v>18800395</v>
          </cell>
        </row>
        <row r="23">
          <cell r="C23">
            <v>459014853</v>
          </cell>
        </row>
        <row r="24">
          <cell r="C24">
            <v>7000000</v>
          </cell>
        </row>
        <row r="25">
          <cell r="C25">
            <v>110471049</v>
          </cell>
        </row>
        <row r="26">
          <cell r="C26">
            <v>8203200</v>
          </cell>
        </row>
        <row r="27">
          <cell r="C27">
            <v>700000</v>
          </cell>
        </row>
        <row r="28">
          <cell r="C28">
            <v>101567849</v>
          </cell>
        </row>
        <row r="29">
          <cell r="C29">
            <v>82666000</v>
          </cell>
        </row>
        <row r="30">
          <cell r="C30">
            <v>49566000</v>
          </cell>
        </row>
        <row r="31">
          <cell r="C31">
            <v>0</v>
          </cell>
        </row>
        <row r="32">
          <cell r="C32">
            <v>33100000</v>
          </cell>
        </row>
        <row r="33">
          <cell r="C33">
            <v>0</v>
          </cell>
        </row>
        <row r="34">
          <cell r="C34">
            <v>12000000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7750000</v>
          </cell>
        </row>
        <row r="38">
          <cell r="C38">
            <v>4490342998.9300003</v>
          </cell>
        </row>
        <row r="41">
          <cell r="C41">
            <v>3311819780</v>
          </cell>
        </row>
        <row r="42">
          <cell r="C42">
            <v>277924507</v>
          </cell>
        </row>
        <row r="43">
          <cell r="C43">
            <v>114666977</v>
          </cell>
        </row>
        <row r="44">
          <cell r="C44">
            <v>10353847</v>
          </cell>
        </row>
        <row r="45">
          <cell r="C45">
            <v>31641889</v>
          </cell>
        </row>
        <row r="46">
          <cell r="C46">
            <v>2838000</v>
          </cell>
        </row>
        <row r="47">
          <cell r="C47">
            <v>11832360</v>
          </cell>
        </row>
        <row r="48">
          <cell r="C48">
            <v>3000000</v>
          </cell>
        </row>
        <row r="49">
          <cell r="C49">
            <v>8568000</v>
          </cell>
        </row>
        <row r="50">
          <cell r="C50">
            <v>19239000</v>
          </cell>
        </row>
        <row r="51">
          <cell r="C51">
            <v>2766600</v>
          </cell>
        </row>
        <row r="52">
          <cell r="C52">
            <v>3306000</v>
          </cell>
        </row>
        <row r="53">
          <cell r="C53">
            <v>15014400</v>
          </cell>
        </row>
        <row r="54">
          <cell r="C54">
            <v>3590000</v>
          </cell>
        </row>
        <row r="55">
          <cell r="C55">
            <v>33880000</v>
          </cell>
        </row>
        <row r="56">
          <cell r="C56">
            <v>10900000</v>
          </cell>
        </row>
        <row r="57">
          <cell r="C57">
            <v>6327434</v>
          </cell>
        </row>
        <row r="60">
          <cell r="C60">
            <v>7563895</v>
          </cell>
        </row>
        <row r="61">
          <cell r="C61">
            <v>43457440.670000002</v>
          </cell>
        </row>
        <row r="62">
          <cell r="C62">
            <v>17361425.109999999</v>
          </cell>
        </row>
        <row r="63">
          <cell r="C63">
            <v>0</v>
          </cell>
        </row>
        <row r="64">
          <cell r="C64">
            <v>1700000</v>
          </cell>
        </row>
        <row r="67">
          <cell r="C67">
            <v>38612052.93</v>
          </cell>
        </row>
        <row r="68">
          <cell r="C68">
            <v>30101192.399999999</v>
          </cell>
        </row>
        <row r="69">
          <cell r="C69">
            <v>325134</v>
          </cell>
        </row>
        <row r="72">
          <cell r="C72">
            <v>8185726.5300000003</v>
          </cell>
        </row>
        <row r="74">
          <cell r="C74">
            <v>18800395.289999999</v>
          </cell>
        </row>
        <row r="75">
          <cell r="C75">
            <v>459014852.54000002</v>
          </cell>
        </row>
        <row r="76">
          <cell r="C76">
            <v>25660000</v>
          </cell>
        </row>
        <row r="77">
          <cell r="C77">
            <v>6200000</v>
          </cell>
        </row>
        <row r="78">
          <cell r="C78">
            <v>0</v>
          </cell>
        </row>
        <row r="81">
          <cell r="C81">
            <v>12000000</v>
          </cell>
        </row>
        <row r="82">
          <cell r="C82">
            <v>159691378</v>
          </cell>
        </row>
        <row r="83">
          <cell r="C83">
            <v>150647038</v>
          </cell>
        </row>
        <row r="90">
          <cell r="C90">
            <v>26052260</v>
          </cell>
        </row>
        <row r="92">
          <cell r="C92">
            <v>11918500</v>
          </cell>
        </row>
        <row r="97">
          <cell r="C97">
            <v>88761449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100523595.12</v>
          </cell>
        </row>
        <row r="13">
          <cell r="D13">
            <v>84745918.319999993</v>
          </cell>
        </row>
        <row r="14">
          <cell r="D14">
            <v>4057869.52</v>
          </cell>
        </row>
        <row r="15">
          <cell r="D15">
            <v>1114928.74</v>
          </cell>
        </row>
        <row r="16">
          <cell r="D16">
            <v>891796.25</v>
          </cell>
        </row>
        <row r="17">
          <cell r="D17">
            <v>8524.9699999999993</v>
          </cell>
        </row>
        <row r="18">
          <cell r="D18">
            <v>1.5</v>
          </cell>
        </row>
        <row r="19">
          <cell r="D19">
            <v>69.349999999999994</v>
          </cell>
        </row>
        <row r="20">
          <cell r="D20">
            <v>214536.67</v>
          </cell>
        </row>
        <row r="22">
          <cell r="D22">
            <v>4983.24</v>
          </cell>
        </row>
        <row r="23">
          <cell r="D23">
            <v>10593610.300000001</v>
          </cell>
        </row>
        <row r="24">
          <cell r="D24">
            <v>6285</v>
          </cell>
        </row>
        <row r="25">
          <cell r="D25">
            <v>5011834.1500000004</v>
          </cell>
        </row>
        <row r="26">
          <cell r="D26">
            <v>1633573.13</v>
          </cell>
        </row>
        <row r="28">
          <cell r="D28">
            <v>3378261.02</v>
          </cell>
        </row>
        <row r="29">
          <cell r="D29">
            <v>0</v>
          </cell>
        </row>
        <row r="37">
          <cell r="D37">
            <v>771947.89</v>
          </cell>
        </row>
        <row r="38">
          <cell r="D38">
            <v>106307377.16</v>
          </cell>
        </row>
        <row r="41">
          <cell r="D41">
            <v>63674381.259999998</v>
          </cell>
        </row>
        <row r="42">
          <cell r="D42">
            <v>7311005.1399999997</v>
          </cell>
        </row>
        <row r="43">
          <cell r="D43">
            <v>4078560.93</v>
          </cell>
        </row>
        <row r="44">
          <cell r="D44">
            <v>498437.3</v>
          </cell>
        </row>
        <row r="45">
          <cell r="D45">
            <v>1409705.33</v>
          </cell>
        </row>
        <row r="46">
          <cell r="D46">
            <v>20500</v>
          </cell>
        </row>
        <row r="47">
          <cell r="D47">
            <v>153720.76</v>
          </cell>
        </row>
        <row r="48">
          <cell r="D48">
            <v>45270.26</v>
          </cell>
        </row>
        <row r="49">
          <cell r="D49">
            <v>400139.2</v>
          </cell>
        </row>
        <row r="50">
          <cell r="D50">
            <v>164611.31</v>
          </cell>
        </row>
        <row r="51">
          <cell r="D51">
            <v>83800</v>
          </cell>
        </row>
        <row r="52">
          <cell r="D52">
            <v>129523.19</v>
          </cell>
        </row>
        <row r="53">
          <cell r="D53">
            <v>220215.16</v>
          </cell>
        </row>
        <row r="54">
          <cell r="D54">
            <v>16100</v>
          </cell>
        </row>
        <row r="55">
          <cell r="D55">
            <v>68742</v>
          </cell>
        </row>
        <row r="56">
          <cell r="D56">
            <v>17323.7</v>
          </cell>
        </row>
        <row r="57">
          <cell r="D57">
            <v>4356</v>
          </cell>
        </row>
        <row r="60">
          <cell r="D60">
            <v>589328</v>
          </cell>
        </row>
        <row r="67">
          <cell r="D67">
            <v>983037.84</v>
          </cell>
        </row>
        <row r="68">
          <cell r="D68">
            <v>786364.64</v>
          </cell>
        </row>
        <row r="69">
          <cell r="D69">
            <v>7588.55</v>
          </cell>
        </row>
        <row r="70">
          <cell r="D70">
            <v>6.84</v>
          </cell>
        </row>
        <row r="71">
          <cell r="D71">
            <v>172.8</v>
          </cell>
        </row>
        <row r="72">
          <cell r="D72">
            <v>188905.01</v>
          </cell>
        </row>
        <row r="74">
          <cell r="D74">
            <v>18580.599999999999</v>
          </cell>
        </row>
        <row r="75">
          <cell r="D75">
            <v>8139316.4299999997</v>
          </cell>
        </row>
        <row r="76">
          <cell r="D76">
            <v>2422085.0699999998</v>
          </cell>
        </row>
        <row r="78">
          <cell r="D78">
            <v>3150000</v>
          </cell>
        </row>
        <row r="82">
          <cell r="D82">
            <v>195864.65</v>
          </cell>
        </row>
        <row r="83">
          <cell r="D83">
            <v>169235.7</v>
          </cell>
        </row>
        <row r="88">
          <cell r="D88">
            <v>4596536.08</v>
          </cell>
        </row>
        <row r="90">
          <cell r="D90">
            <v>915311.79</v>
          </cell>
        </row>
        <row r="98">
          <cell r="D98">
            <v>127259228.8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82943900.019999996</v>
          </cell>
        </row>
        <row r="13">
          <cell r="D13">
            <v>68466062.109999999</v>
          </cell>
        </row>
        <row r="14">
          <cell r="D14">
            <v>5363422.38</v>
          </cell>
        </row>
        <row r="15">
          <cell r="D15">
            <v>905176.37</v>
          </cell>
        </row>
        <row r="16">
          <cell r="D16">
            <v>717664.7</v>
          </cell>
        </row>
        <row r="17">
          <cell r="D17">
            <v>6830.68</v>
          </cell>
        </row>
        <row r="18">
          <cell r="D18">
            <v>126.61</v>
          </cell>
        </row>
        <row r="19">
          <cell r="D19">
            <v>9667.6299999999992</v>
          </cell>
        </row>
        <row r="20">
          <cell r="D20">
            <v>170886.75</v>
          </cell>
        </row>
        <row r="22">
          <cell r="D22">
            <v>7718.27</v>
          </cell>
        </row>
        <row r="23">
          <cell r="D23">
            <v>8195235.8899999997</v>
          </cell>
        </row>
        <row r="24">
          <cell r="D24">
            <v>6285</v>
          </cell>
        </row>
        <row r="25">
          <cell r="D25">
            <v>2254094.12</v>
          </cell>
        </row>
        <row r="26">
          <cell r="D26">
            <v>689059.02</v>
          </cell>
        </row>
        <row r="28">
          <cell r="D28">
            <v>1565035.1</v>
          </cell>
        </row>
        <row r="29">
          <cell r="D29">
            <v>0</v>
          </cell>
        </row>
        <row r="37">
          <cell r="D37">
            <v>586686.19999999995</v>
          </cell>
        </row>
        <row r="41">
          <cell r="D41">
            <v>55485212.020000003</v>
          </cell>
        </row>
        <row r="42">
          <cell r="D42">
            <v>8455282.2899999991</v>
          </cell>
        </row>
        <row r="43">
          <cell r="D43">
            <v>3981937.87</v>
          </cell>
        </row>
        <row r="44">
          <cell r="D44">
            <v>495120.44</v>
          </cell>
        </row>
        <row r="45">
          <cell r="D45">
            <v>1957496.92</v>
          </cell>
        </row>
        <row r="46">
          <cell r="D46">
            <v>20500</v>
          </cell>
        </row>
        <row r="47">
          <cell r="D47">
            <v>45615.5</v>
          </cell>
        </row>
        <row r="48">
          <cell r="D48">
            <v>211850</v>
          </cell>
        </row>
        <row r="49">
          <cell r="D49">
            <v>401412.23</v>
          </cell>
        </row>
        <row r="50">
          <cell r="D50">
            <v>303952.75</v>
          </cell>
        </row>
        <row r="51">
          <cell r="D51">
            <v>83800</v>
          </cell>
        </row>
        <row r="52">
          <cell r="D52">
            <v>134900</v>
          </cell>
        </row>
        <row r="53">
          <cell r="D53">
            <v>325082</v>
          </cell>
        </row>
        <row r="54">
          <cell r="D54">
            <v>0</v>
          </cell>
        </row>
        <row r="55">
          <cell r="D55">
            <v>459818.73</v>
          </cell>
        </row>
        <row r="56">
          <cell r="D56">
            <v>15693.85</v>
          </cell>
        </row>
        <row r="57">
          <cell r="D57">
            <v>18102</v>
          </cell>
        </row>
        <row r="67">
          <cell r="D67">
            <v>1213107.72</v>
          </cell>
        </row>
        <row r="68">
          <cell r="D68">
            <v>970403.6</v>
          </cell>
        </row>
        <row r="69">
          <cell r="D69">
            <v>9275.0499999999993</v>
          </cell>
        </row>
        <row r="70">
          <cell r="D70">
            <v>2.4</v>
          </cell>
        </row>
        <row r="71">
          <cell r="D71">
            <v>78.45</v>
          </cell>
        </row>
        <row r="72">
          <cell r="D72">
            <v>233348.22</v>
          </cell>
        </row>
        <row r="74">
          <cell r="D74">
            <v>7652.12</v>
          </cell>
        </row>
        <row r="75">
          <cell r="D75">
            <v>9273346.2300000004</v>
          </cell>
        </row>
        <row r="78">
          <cell r="D78">
            <v>10000</v>
          </cell>
        </row>
        <row r="83">
          <cell r="D83">
            <v>42722.879999999997</v>
          </cell>
        </row>
        <row r="88">
          <cell r="D88">
            <v>4262207.34</v>
          </cell>
        </row>
        <row r="90">
          <cell r="D90">
            <v>922021</v>
          </cell>
        </row>
        <row r="98">
          <cell r="D98">
            <v>133372357.54000001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119551922.47</v>
          </cell>
        </row>
        <row r="13">
          <cell r="D13">
            <v>101148469.94</v>
          </cell>
        </row>
        <row r="14">
          <cell r="D14">
            <v>5643644.7699999996</v>
          </cell>
        </row>
        <row r="15">
          <cell r="D15">
            <v>1334055.7</v>
          </cell>
        </row>
        <row r="16">
          <cell r="D16">
            <v>1069202.31</v>
          </cell>
        </row>
        <row r="17">
          <cell r="D17">
            <v>10131.92</v>
          </cell>
        </row>
        <row r="18">
          <cell r="D18">
            <v>1.03</v>
          </cell>
        </row>
        <row r="19">
          <cell r="D19">
            <v>22.86</v>
          </cell>
        </row>
        <row r="20">
          <cell r="D20">
            <v>254697.58</v>
          </cell>
        </row>
        <row r="22">
          <cell r="D22">
            <v>5413.99</v>
          </cell>
        </row>
        <row r="23">
          <cell r="D23">
            <v>11414053.07</v>
          </cell>
        </row>
        <row r="24">
          <cell r="D24">
            <v>6285</v>
          </cell>
        </row>
        <row r="25">
          <cell r="D25">
            <v>1223517.75</v>
          </cell>
        </row>
        <row r="26">
          <cell r="D26">
            <v>984631.02</v>
          </cell>
        </row>
        <row r="28">
          <cell r="D28">
            <v>238886.73</v>
          </cell>
        </row>
        <row r="29">
          <cell r="D29">
            <v>0</v>
          </cell>
        </row>
        <row r="37">
          <cell r="D37">
            <v>920198.93</v>
          </cell>
        </row>
        <row r="38">
          <cell r="D38">
            <v>121695639.15000001</v>
          </cell>
        </row>
        <row r="41">
          <cell r="D41">
            <v>74044629.170000002</v>
          </cell>
        </row>
        <row r="42">
          <cell r="D42">
            <v>9126567.2200000007</v>
          </cell>
        </row>
        <row r="43">
          <cell r="D43">
            <v>6206404.9199999999</v>
          </cell>
        </row>
        <row r="44">
          <cell r="D44">
            <v>520588.26</v>
          </cell>
        </row>
        <row r="45">
          <cell r="D45">
            <v>623457.30000000005</v>
          </cell>
        </row>
        <row r="46">
          <cell r="D46">
            <v>20500</v>
          </cell>
        </row>
        <row r="47">
          <cell r="D47">
            <v>252056.35</v>
          </cell>
        </row>
        <row r="48">
          <cell r="D48">
            <v>110007</v>
          </cell>
        </row>
        <row r="49">
          <cell r="D49">
            <v>436244.47</v>
          </cell>
        </row>
        <row r="50">
          <cell r="D50">
            <v>195955.71</v>
          </cell>
        </row>
        <row r="51">
          <cell r="D51">
            <v>83800</v>
          </cell>
        </row>
        <row r="52">
          <cell r="D52">
            <v>124326.66</v>
          </cell>
        </row>
        <row r="53">
          <cell r="D53">
            <v>179023.12</v>
          </cell>
        </row>
        <row r="54">
          <cell r="D54">
            <v>0</v>
          </cell>
        </row>
        <row r="55">
          <cell r="D55">
            <v>339283.83</v>
          </cell>
        </row>
        <row r="56">
          <cell r="D56">
            <v>7659.6</v>
          </cell>
        </row>
        <row r="57">
          <cell r="D57">
            <v>27260</v>
          </cell>
        </row>
        <row r="60">
          <cell r="D60">
            <v>589329</v>
          </cell>
        </row>
        <row r="67">
          <cell r="D67">
            <v>892517.7</v>
          </cell>
        </row>
        <row r="68">
          <cell r="D68">
            <v>707490.3</v>
          </cell>
        </row>
        <row r="69">
          <cell r="D69">
            <v>6735.84</v>
          </cell>
        </row>
        <row r="70">
          <cell r="D70">
            <v>126.2</v>
          </cell>
        </row>
        <row r="71">
          <cell r="D71">
            <v>9642.6299999999992</v>
          </cell>
        </row>
        <row r="72">
          <cell r="D72">
            <v>168522.73</v>
          </cell>
        </row>
        <row r="74">
          <cell r="D74">
            <v>9206.92</v>
          </cell>
        </row>
        <row r="77">
          <cell r="D77">
            <v>15000</v>
          </cell>
        </row>
        <row r="78">
          <cell r="D78">
            <v>2014327.11</v>
          </cell>
        </row>
        <row r="82">
          <cell r="D82">
            <v>519091.96</v>
          </cell>
        </row>
        <row r="83">
          <cell r="D83">
            <v>82653.570000000007</v>
          </cell>
        </row>
        <row r="88">
          <cell r="D88">
            <v>5645707.7599999998</v>
          </cell>
        </row>
        <row r="90">
          <cell r="D90">
            <v>922021</v>
          </cell>
        </row>
        <row r="98">
          <cell r="D98">
            <v>161206945.28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NEECO I</v>
          </cell>
        </row>
        <row r="12">
          <cell r="C12">
            <v>4808973495</v>
          </cell>
          <cell r="D12">
            <v>274187037.18000001</v>
          </cell>
        </row>
        <row r="13">
          <cell r="C13">
            <v>4159444288</v>
          </cell>
          <cell r="D13">
            <v>235440894.09999999</v>
          </cell>
        </row>
        <row r="14">
          <cell r="C14">
            <v>86469481</v>
          </cell>
          <cell r="D14">
            <v>6655687.6699999999</v>
          </cell>
        </row>
        <row r="15">
          <cell r="C15">
            <v>59224452</v>
          </cell>
          <cell r="D15">
            <v>5949030.9699999997</v>
          </cell>
        </row>
        <row r="16">
          <cell r="C16">
            <v>45974134.68</v>
          </cell>
          <cell r="D16">
            <v>4928437.0199999996</v>
          </cell>
        </row>
        <row r="17">
          <cell r="C17">
            <v>506191.9</v>
          </cell>
          <cell r="D17">
            <v>39122.269999999997</v>
          </cell>
        </row>
        <row r="18">
          <cell r="C18">
            <v>0</v>
          </cell>
          <cell r="D18">
            <v>35.67</v>
          </cell>
        </row>
        <row r="19">
          <cell r="C19">
            <v>0</v>
          </cell>
          <cell r="D19">
            <v>980593.76</v>
          </cell>
        </row>
        <row r="20">
          <cell r="C20">
            <v>12744125.42</v>
          </cell>
          <cell r="D20">
            <v>842.25</v>
          </cell>
        </row>
        <row r="22">
          <cell r="C22">
            <v>29229846</v>
          </cell>
          <cell r="D22">
            <v>4758.68</v>
          </cell>
        </row>
        <row r="23">
          <cell r="C23">
            <v>472449148</v>
          </cell>
          <cell r="D23">
            <v>26136654.199999999</v>
          </cell>
        </row>
        <row r="24">
          <cell r="C24">
            <v>2156280</v>
          </cell>
          <cell r="D24">
            <v>11.56</v>
          </cell>
        </row>
        <row r="25">
          <cell r="C25">
            <v>97000000</v>
          </cell>
          <cell r="D25">
            <v>4948382.13</v>
          </cell>
        </row>
        <row r="26">
          <cell r="C26">
            <v>97000000</v>
          </cell>
          <cell r="D26">
            <v>4948382.13</v>
          </cell>
        </row>
        <row r="29">
          <cell r="C29">
            <v>230602041</v>
          </cell>
          <cell r="D29">
            <v>0</v>
          </cell>
        </row>
        <row r="31">
          <cell r="C31">
            <v>230602041</v>
          </cell>
          <cell r="D31">
            <v>0</v>
          </cell>
        </row>
        <row r="34">
          <cell r="C34">
            <v>0</v>
          </cell>
          <cell r="D34">
            <v>0</v>
          </cell>
        </row>
        <row r="36">
          <cell r="D36">
            <v>0</v>
          </cell>
        </row>
        <row r="38">
          <cell r="C38">
            <v>5136575536</v>
          </cell>
          <cell r="D38">
            <v>279135419.31</v>
          </cell>
        </row>
        <row r="41">
          <cell r="C41">
            <v>3868966716</v>
          </cell>
          <cell r="D41">
            <v>203936129.34</v>
          </cell>
        </row>
        <row r="42">
          <cell r="C42">
            <v>283966718</v>
          </cell>
          <cell r="D42">
            <v>19355160.550000001</v>
          </cell>
        </row>
        <row r="43">
          <cell r="C43">
            <v>100249255</v>
          </cell>
          <cell r="D43">
            <v>9616134.8200000003</v>
          </cell>
        </row>
        <row r="44">
          <cell r="C44">
            <v>17579241</v>
          </cell>
          <cell r="D44">
            <v>1517668.85</v>
          </cell>
        </row>
        <row r="45">
          <cell r="C45">
            <v>74333116</v>
          </cell>
          <cell r="D45">
            <v>1696066.57</v>
          </cell>
        </row>
        <row r="46">
          <cell r="C46">
            <v>1490400</v>
          </cell>
          <cell r="D46">
            <v>88759.79</v>
          </cell>
        </row>
        <row r="47">
          <cell r="C47">
            <v>2812556</v>
          </cell>
          <cell r="D47">
            <v>94422.06</v>
          </cell>
        </row>
        <row r="48">
          <cell r="C48">
            <v>530400</v>
          </cell>
          <cell r="D48">
            <v>240136</v>
          </cell>
        </row>
        <row r="49">
          <cell r="C49">
            <v>9542250</v>
          </cell>
          <cell r="D49">
            <v>361808.39</v>
          </cell>
        </row>
        <row r="50">
          <cell r="C50">
            <v>5089000</v>
          </cell>
          <cell r="D50">
            <v>769754.44</v>
          </cell>
        </row>
        <row r="51">
          <cell r="C51">
            <v>1320000</v>
          </cell>
          <cell r="D51">
            <v>55200</v>
          </cell>
        </row>
        <row r="52">
          <cell r="C52">
            <v>2712000</v>
          </cell>
          <cell r="D52">
            <v>202700</v>
          </cell>
        </row>
        <row r="53">
          <cell r="C53">
            <v>24824000</v>
          </cell>
          <cell r="D53">
            <v>1903359.16</v>
          </cell>
        </row>
        <row r="54">
          <cell r="C54">
            <v>2771400</v>
          </cell>
          <cell r="D54">
            <v>393117</v>
          </cell>
        </row>
        <row r="55">
          <cell r="C55">
            <v>31607000</v>
          </cell>
          <cell r="D55">
            <v>1940482.95</v>
          </cell>
        </row>
        <row r="56">
          <cell r="C56">
            <v>5786100</v>
          </cell>
          <cell r="D56">
            <v>112918.5</v>
          </cell>
        </row>
        <row r="57">
          <cell r="C57">
            <v>3320000</v>
          </cell>
          <cell r="D57">
            <v>362632.02</v>
          </cell>
        </row>
        <row r="61">
          <cell r="C61">
            <v>30721865</v>
          </cell>
          <cell r="D61">
            <v>0</v>
          </cell>
        </row>
        <row r="64">
          <cell r="C64">
            <v>4000000</v>
          </cell>
          <cell r="D64">
            <v>21520.62</v>
          </cell>
        </row>
        <row r="67">
          <cell r="C67">
            <v>59224452</v>
          </cell>
          <cell r="D67">
            <v>3854924.84</v>
          </cell>
        </row>
        <row r="68">
          <cell r="C68">
            <v>45974134.68</v>
          </cell>
          <cell r="D68">
            <v>3082931.99</v>
          </cell>
        </row>
        <row r="69">
          <cell r="C69">
            <v>506191.9</v>
          </cell>
          <cell r="D69">
            <v>31950.85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12744125.42</v>
          </cell>
          <cell r="D72">
            <v>740042</v>
          </cell>
        </row>
        <row r="74">
          <cell r="C74">
            <v>29229846</v>
          </cell>
          <cell r="D74">
            <v>0</v>
          </cell>
        </row>
        <row r="75">
          <cell r="C75">
            <v>472449148</v>
          </cell>
          <cell r="D75">
            <v>21425409.559999999</v>
          </cell>
        </row>
        <row r="76">
          <cell r="C76">
            <v>2156280</v>
          </cell>
          <cell r="D76">
            <v>0</v>
          </cell>
        </row>
        <row r="77">
          <cell r="C77">
            <v>6000000</v>
          </cell>
          <cell r="D77">
            <v>122121.79</v>
          </cell>
        </row>
        <row r="81">
          <cell r="C81">
            <v>0</v>
          </cell>
          <cell r="D81">
            <v>0</v>
          </cell>
        </row>
        <row r="82">
          <cell r="C82">
            <v>260479187</v>
          </cell>
          <cell r="D82">
            <v>1765098.22</v>
          </cell>
        </row>
        <row r="83">
          <cell r="C83">
            <v>56592335</v>
          </cell>
          <cell r="D83">
            <v>1201817.8500000001</v>
          </cell>
        </row>
        <row r="88">
          <cell r="D88">
            <v>0</v>
          </cell>
        </row>
        <row r="90">
          <cell r="C90">
            <v>15272552</v>
          </cell>
          <cell r="D90">
            <v>9053056.1300000008</v>
          </cell>
        </row>
        <row r="94">
          <cell r="D94">
            <v>105991.08</v>
          </cell>
        </row>
        <row r="97">
          <cell r="C97">
            <v>399363581.45999998</v>
          </cell>
        </row>
        <row r="98">
          <cell r="D98">
            <v>555026636.78999996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268559062.10000002</v>
          </cell>
        </row>
        <row r="13">
          <cell r="D13">
            <v>231212730.91999999</v>
          </cell>
        </row>
        <row r="14">
          <cell r="D14">
            <v>5779706.04</v>
          </cell>
        </row>
        <row r="15">
          <cell r="D15">
            <v>4432717.3899999997</v>
          </cell>
        </row>
        <row r="16">
          <cell r="D16">
            <v>3544532.48</v>
          </cell>
        </row>
        <row r="17">
          <cell r="D17">
            <v>35563.19</v>
          </cell>
        </row>
        <row r="18">
          <cell r="D18">
            <v>20.57</v>
          </cell>
        </row>
        <row r="19">
          <cell r="D19">
            <v>851977.51</v>
          </cell>
        </row>
        <row r="20">
          <cell r="D20">
            <v>623.64</v>
          </cell>
        </row>
        <row r="22">
          <cell r="D22">
            <v>183951.63</v>
          </cell>
        </row>
        <row r="23">
          <cell r="D23">
            <v>26949871.390000001</v>
          </cell>
        </row>
        <row r="24">
          <cell r="D24">
            <v>84.73</v>
          </cell>
        </row>
        <row r="25">
          <cell r="D25">
            <v>10655217.77</v>
          </cell>
        </row>
        <row r="26">
          <cell r="D26">
            <v>10655217.77</v>
          </cell>
        </row>
        <row r="29">
          <cell r="D29">
            <v>0</v>
          </cell>
        </row>
        <row r="31">
          <cell r="D31">
            <v>0</v>
          </cell>
        </row>
        <row r="34">
          <cell r="D34">
            <v>0</v>
          </cell>
        </row>
        <row r="36">
          <cell r="D36">
            <v>0</v>
          </cell>
        </row>
        <row r="38">
          <cell r="D38">
            <v>279214279.87</v>
          </cell>
        </row>
        <row r="41">
          <cell r="D41">
            <v>166648265.90000001</v>
          </cell>
        </row>
        <row r="42">
          <cell r="D42">
            <v>38142858.009999998</v>
          </cell>
        </row>
        <row r="43">
          <cell r="D43">
            <v>12603227.35</v>
          </cell>
        </row>
        <row r="44">
          <cell r="D44">
            <v>1273618.76</v>
          </cell>
        </row>
        <row r="45">
          <cell r="D45">
            <v>13871106.85</v>
          </cell>
        </row>
        <row r="46">
          <cell r="D46">
            <v>140777.16</v>
          </cell>
        </row>
        <row r="47">
          <cell r="D47">
            <v>281138.46000000002</v>
          </cell>
        </row>
        <row r="48">
          <cell r="D48">
            <v>56609</v>
          </cell>
        </row>
        <row r="49">
          <cell r="D49">
            <v>1128571.95</v>
          </cell>
        </row>
        <row r="50">
          <cell r="D50">
            <v>518905.26</v>
          </cell>
        </row>
        <row r="51">
          <cell r="D51">
            <v>99000</v>
          </cell>
        </row>
        <row r="52">
          <cell r="D52">
            <v>200700</v>
          </cell>
        </row>
        <row r="53">
          <cell r="D53">
            <v>2102048.4</v>
          </cell>
        </row>
        <row r="54">
          <cell r="D54">
            <v>282600</v>
          </cell>
        </row>
        <row r="55">
          <cell r="D55">
            <v>1665709.76</v>
          </cell>
        </row>
        <row r="56">
          <cell r="D56">
            <v>3653317.25</v>
          </cell>
        </row>
        <row r="57">
          <cell r="D57">
            <v>265527.81</v>
          </cell>
        </row>
        <row r="61">
          <cell r="D61">
            <v>0</v>
          </cell>
        </row>
        <row r="64">
          <cell r="D64">
            <v>657239.28</v>
          </cell>
        </row>
        <row r="67">
          <cell r="D67">
            <v>4034434.14</v>
          </cell>
        </row>
        <row r="68">
          <cell r="D68">
            <v>3228633.79</v>
          </cell>
        </row>
        <row r="69">
          <cell r="D69">
            <v>30783.38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775016.97</v>
          </cell>
        </row>
        <row r="74">
          <cell r="D74">
            <v>707638.53</v>
          </cell>
        </row>
        <row r="75">
          <cell r="D75">
            <v>23663052.59</v>
          </cell>
        </row>
        <row r="76">
          <cell r="D76">
            <v>0</v>
          </cell>
        </row>
        <row r="77">
          <cell r="D77">
            <v>78238.34</v>
          </cell>
        </row>
        <row r="81">
          <cell r="D81">
            <v>0</v>
          </cell>
        </row>
        <row r="82">
          <cell r="D82">
            <v>6320744.1100000003</v>
          </cell>
        </row>
        <row r="83">
          <cell r="D83">
            <v>1280692.17</v>
          </cell>
        </row>
        <row r="88">
          <cell r="D88">
            <v>0</v>
          </cell>
        </row>
        <row r="90">
          <cell r="D90">
            <v>3948381.41</v>
          </cell>
        </row>
        <row r="94">
          <cell r="D94">
            <v>-110578.37</v>
          </cell>
        </row>
        <row r="95">
          <cell r="D95">
            <v>3837803.04</v>
          </cell>
        </row>
        <row r="97">
          <cell r="D97">
            <v>388091432.80000001</v>
          </cell>
        </row>
        <row r="98">
          <cell r="D98">
            <v>421934746.56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D12">
            <v>202512477.78999999</v>
          </cell>
        </row>
        <row r="13">
          <cell r="D13">
            <v>173640206.15000001</v>
          </cell>
        </row>
        <row r="14">
          <cell r="D14">
            <v>4685148.45</v>
          </cell>
        </row>
        <row r="15">
          <cell r="D15">
            <v>3593150.69</v>
          </cell>
        </row>
        <row r="16">
          <cell r="D16">
            <v>2873910.47</v>
          </cell>
        </row>
        <row r="17">
          <cell r="D17">
            <v>28654.31</v>
          </cell>
        </row>
        <row r="18">
          <cell r="D18">
            <v>8.17</v>
          </cell>
        </row>
        <row r="19">
          <cell r="D19">
            <v>690269.71</v>
          </cell>
        </row>
        <row r="20">
          <cell r="D20">
            <v>308.02999999999997</v>
          </cell>
        </row>
        <row r="22">
          <cell r="D22">
            <v>71839.38</v>
          </cell>
        </row>
        <row r="23">
          <cell r="D23">
            <v>20522090.850000001</v>
          </cell>
        </row>
        <row r="24">
          <cell r="D24">
            <v>42.27</v>
          </cell>
        </row>
        <row r="25">
          <cell r="D25">
            <v>3958338.61</v>
          </cell>
        </row>
        <row r="26">
          <cell r="D26">
            <v>3958338.61</v>
          </cell>
        </row>
        <row r="29">
          <cell r="D29">
            <v>0</v>
          </cell>
        </row>
        <row r="31">
          <cell r="D31">
            <v>0</v>
          </cell>
        </row>
        <row r="34">
          <cell r="D34">
            <v>0</v>
          </cell>
        </row>
        <row r="36">
          <cell r="D36">
            <v>0</v>
          </cell>
        </row>
        <row r="38">
          <cell r="D38">
            <v>206470816.40000001</v>
          </cell>
        </row>
        <row r="41">
          <cell r="D41">
            <v>166061197.03999999</v>
          </cell>
        </row>
        <row r="42">
          <cell r="D42">
            <v>16635180.33</v>
          </cell>
        </row>
        <row r="43">
          <cell r="D43">
            <v>9133894.5099999998</v>
          </cell>
        </row>
        <row r="44">
          <cell r="D44">
            <v>1529337.24</v>
          </cell>
        </row>
        <row r="45">
          <cell r="D45">
            <v>1804009.02</v>
          </cell>
        </row>
        <row r="46">
          <cell r="D46">
            <v>80639.91</v>
          </cell>
        </row>
        <row r="47">
          <cell r="D47">
            <v>313733.56</v>
          </cell>
        </row>
        <row r="48">
          <cell r="D48">
            <v>26130</v>
          </cell>
        </row>
        <row r="49">
          <cell r="D49">
            <v>543151.71</v>
          </cell>
        </row>
        <row r="50">
          <cell r="D50">
            <v>327425.28999999998</v>
          </cell>
        </row>
        <row r="51">
          <cell r="D51">
            <v>99000</v>
          </cell>
        </row>
        <row r="52">
          <cell r="D52">
            <v>194700</v>
          </cell>
        </row>
        <row r="53">
          <cell r="D53">
            <v>1906820.42</v>
          </cell>
        </row>
        <row r="54">
          <cell r="D54">
            <v>271878.44</v>
          </cell>
        </row>
        <row r="55">
          <cell r="D55">
            <v>40600</v>
          </cell>
        </row>
        <row r="56">
          <cell r="D56">
            <v>80785.48</v>
          </cell>
        </row>
        <row r="57">
          <cell r="D57">
            <v>283074.75</v>
          </cell>
        </row>
        <row r="61">
          <cell r="D61">
            <v>0</v>
          </cell>
        </row>
        <row r="64">
          <cell r="D64">
            <v>957093.7</v>
          </cell>
        </row>
        <row r="65">
          <cell r="D65">
            <v>957093.7</v>
          </cell>
        </row>
        <row r="67">
          <cell r="D67">
            <v>3987746.56</v>
          </cell>
        </row>
        <row r="68">
          <cell r="D68">
            <v>3191271.15</v>
          </cell>
        </row>
        <row r="69">
          <cell r="D69">
            <v>30427.15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766048.26</v>
          </cell>
        </row>
        <row r="74">
          <cell r="D74">
            <v>173797.93</v>
          </cell>
        </row>
        <row r="75">
          <cell r="D75">
            <v>17018302.440000001</v>
          </cell>
        </row>
        <row r="76">
          <cell r="D76">
            <v>0</v>
          </cell>
        </row>
        <row r="77">
          <cell r="D77">
            <v>110956.99</v>
          </cell>
        </row>
        <row r="81">
          <cell r="D81">
            <v>0</v>
          </cell>
        </row>
        <row r="82">
          <cell r="D82">
            <v>709210.71</v>
          </cell>
        </row>
        <row r="83">
          <cell r="D83">
            <v>448216.11</v>
          </cell>
        </row>
        <row r="88">
          <cell r="D88">
            <v>0</v>
          </cell>
        </row>
        <row r="90">
          <cell r="D90">
            <v>2966276.72</v>
          </cell>
        </row>
        <row r="94">
          <cell r="D94">
            <v>220380.32</v>
          </cell>
        </row>
        <row r="98">
          <cell r="D98">
            <v>419117204.11000001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03"/>
  <sheetViews>
    <sheetView showGridLines="0" tabSelected="1" zoomScaleNormal="100" workbookViewId="0">
      <selection activeCell="F24" sqref="F24"/>
    </sheetView>
  </sheetViews>
  <sheetFormatPr defaultRowHeight="14.4" outlineLevelCol="1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1" width="23.5546875" style="1" customWidth="1" outlineLevel="1"/>
    <col min="12" max="16384" width="8.88671875" style="1"/>
  </cols>
  <sheetData>
    <row r="1" spans="1:11" ht="16.95" customHeight="1" x14ac:dyDescent="0.3">
      <c r="B1" s="2" t="s">
        <v>0</v>
      </c>
    </row>
    <row r="2" spans="1:11" ht="12.9" customHeight="1" x14ac:dyDescent="0.3">
      <c r="A2" s="3"/>
      <c r="B2" s="4" t="s">
        <v>1</v>
      </c>
      <c r="C2" s="3"/>
      <c r="D2" s="3"/>
    </row>
    <row r="3" spans="1:11" ht="0.6" customHeight="1" x14ac:dyDescent="0.3">
      <c r="A3" s="3"/>
    </row>
    <row r="4" spans="1:11" ht="0.45" customHeight="1" x14ac:dyDescent="0.3">
      <c r="A4" s="3"/>
      <c r="E4" s="3"/>
      <c r="F4" s="3"/>
      <c r="G4" s="3"/>
    </row>
    <row r="5" spans="1:11" ht="4.95" customHeight="1" x14ac:dyDescent="0.3">
      <c r="A5" s="3"/>
      <c r="E5" s="3"/>
      <c r="F5" s="3"/>
      <c r="G5" s="3"/>
    </row>
    <row r="6" spans="1:11" ht="0.6" customHeight="1" x14ac:dyDescent="0.3">
      <c r="A6" s="3"/>
      <c r="E6" s="3"/>
      <c r="F6" s="3"/>
      <c r="G6" s="3"/>
    </row>
    <row r="7" spans="1:11" ht="2.4" customHeight="1" x14ac:dyDescent="0.3">
      <c r="A7" s="3"/>
      <c r="B7" s="5" t="s">
        <v>2</v>
      </c>
      <c r="C7" s="5"/>
      <c r="D7" s="5"/>
      <c r="E7" s="3"/>
      <c r="F7" s="3"/>
      <c r="G7" s="3"/>
    </row>
    <row r="8" spans="1:11" ht="16.95" customHeight="1" x14ac:dyDescent="0.3">
      <c r="A8" s="3"/>
      <c r="B8" s="5"/>
      <c r="C8" s="5"/>
      <c r="D8" s="5"/>
    </row>
    <row r="9" spans="1:11" ht="1.95" customHeight="1" x14ac:dyDescent="0.3">
      <c r="A9" s="3"/>
      <c r="B9" s="6" t="str">
        <f>+CONCATENATE("JUNE 2023,"&amp;" "&amp;B13)</f>
        <v>JUNE 2023, AURELCO</v>
      </c>
      <c r="C9" s="6"/>
    </row>
    <row r="10" spans="1:11" ht="15.6" customHeight="1" x14ac:dyDescent="0.3">
      <c r="A10" s="3"/>
      <c r="B10" s="6"/>
      <c r="C10" s="6"/>
    </row>
    <row r="11" spans="1:11" ht="0.45" customHeight="1" x14ac:dyDescent="0.3">
      <c r="A11" s="3"/>
    </row>
    <row r="12" spans="1:11" ht="0" hidden="1" customHeight="1" x14ac:dyDescent="0.3"/>
    <row r="13" spans="1:11" ht="15.45" customHeight="1" x14ac:dyDescent="0.3">
      <c r="B13" s="7" t="str">
        <f>+[1]SCF!$C$2</f>
        <v>AURELCO</v>
      </c>
    </row>
    <row r="14" spans="1:11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9" t="s">
        <v>10</v>
      </c>
      <c r="I14" s="9" t="s">
        <v>11</v>
      </c>
      <c r="J14" s="9" t="s">
        <v>12</v>
      </c>
      <c r="K14" s="9" t="s">
        <v>13</v>
      </c>
    </row>
    <row r="15" spans="1:11" ht="15" customHeight="1" x14ac:dyDescent="0.3">
      <c r="A15" s="10" t="s">
        <v>14</v>
      </c>
      <c r="B15" s="11" t="s">
        <v>15</v>
      </c>
      <c r="C15" s="12" t="s">
        <v>15</v>
      </c>
      <c r="D15" s="11" t="s">
        <v>15</v>
      </c>
      <c r="E15" s="13" t="s">
        <v>15</v>
      </c>
      <c r="F15" s="12" t="s">
        <v>15</v>
      </c>
      <c r="G15" s="12" t="s">
        <v>15</v>
      </c>
      <c r="H15" s="12" t="s">
        <v>15</v>
      </c>
      <c r="I15" s="12" t="s">
        <v>15</v>
      </c>
      <c r="J15" s="12" t="s">
        <v>15</v>
      </c>
      <c r="K15" s="12" t="s">
        <v>15</v>
      </c>
    </row>
    <row r="16" spans="1:11" ht="15" customHeight="1" x14ac:dyDescent="0.3">
      <c r="A16" s="14" t="s">
        <v>16</v>
      </c>
      <c r="B16" s="15">
        <f>[1]SCF!C12</f>
        <v>1129839036</v>
      </c>
      <c r="C16" s="15">
        <f>+C17+C18+C19+C26+C27+C28</f>
        <v>587489081.25</v>
      </c>
      <c r="D16" s="15">
        <f>+C16-B16</f>
        <v>-542349954.75</v>
      </c>
      <c r="E16" s="16">
        <f t="shared" ref="E16:E42" si="0">+D16/B16*100</f>
        <v>-48.002408968811736</v>
      </c>
      <c r="F16" s="15">
        <f>[2]SCF!D12</f>
        <v>95048794.459999993</v>
      </c>
      <c r="G16" s="15">
        <f>[3]SCF!D12</f>
        <v>84660587.780000001</v>
      </c>
      <c r="H16" s="15">
        <f>[4]SCF!D12</f>
        <v>100523595.12</v>
      </c>
      <c r="I16" s="15">
        <f>[5]SCF!D12</f>
        <v>82943900.019999996</v>
      </c>
      <c r="J16" s="15">
        <f>[6]SCF!D12</f>
        <v>119551922.47</v>
      </c>
      <c r="K16" s="15">
        <f>[1]SCF!D12</f>
        <v>104760281.40000001</v>
      </c>
    </row>
    <row r="17" spans="1:11" ht="15" customHeight="1" x14ac:dyDescent="0.3">
      <c r="A17" s="17" t="s">
        <v>17</v>
      </c>
      <c r="B17" s="18">
        <f>[1]SCF!C13</f>
        <v>1029759023</v>
      </c>
      <c r="C17" s="18">
        <f>SUM(F17:K17)</f>
        <v>493258791.00999999</v>
      </c>
      <c r="D17" s="18">
        <f t="shared" ref="D17:D42" si="1">+C17-B17</f>
        <v>-536500231.99000001</v>
      </c>
      <c r="E17" s="19">
        <f t="shared" ref="E17:E18" si="2">IFERROR(+D17/B17*100,0)</f>
        <v>-52.099590293174835</v>
      </c>
      <c r="F17" s="18">
        <f>[2]SCF!D13</f>
        <v>79777713.109999999</v>
      </c>
      <c r="G17" s="18">
        <f>[3]SCF!D13</f>
        <v>70374130.909999996</v>
      </c>
      <c r="H17" s="18">
        <f>[4]SCF!D13</f>
        <v>84745918.319999993</v>
      </c>
      <c r="I17" s="18">
        <f>[5]SCF!D13</f>
        <v>68466062.109999999</v>
      </c>
      <c r="J17" s="18">
        <f>[6]SCF!D13</f>
        <v>101148469.94</v>
      </c>
      <c r="K17" s="18">
        <f>[1]SCF!D13</f>
        <v>88746496.620000005</v>
      </c>
    </row>
    <row r="18" spans="1:11" ht="15" customHeight="1" x14ac:dyDescent="0.3">
      <c r="A18" s="17" t="s">
        <v>18</v>
      </c>
      <c r="B18" s="18">
        <f>[1]SCF!C14</f>
        <v>70366780</v>
      </c>
      <c r="C18" s="18">
        <f>SUM(F18:K18)</f>
        <v>28852937.849999998</v>
      </c>
      <c r="D18" s="18">
        <f t="shared" si="1"/>
        <v>-41513842.150000006</v>
      </c>
      <c r="E18" s="19">
        <f t="shared" si="2"/>
        <v>-58.996364690838497</v>
      </c>
      <c r="F18" s="18">
        <f>[2]SCF!D14</f>
        <v>4057869.52</v>
      </c>
      <c r="G18" s="18">
        <f>[3]SCF!D14</f>
        <v>4366709.28</v>
      </c>
      <c r="H18" s="18">
        <f>[4]SCF!D14</f>
        <v>4057869.52</v>
      </c>
      <c r="I18" s="18">
        <f>[5]SCF!D14</f>
        <v>5363422.38</v>
      </c>
      <c r="J18" s="18">
        <f>[6]SCF!D14</f>
        <v>5643644.7699999996</v>
      </c>
      <c r="K18" s="18">
        <f>[1]SCF!D14</f>
        <v>5363422.38</v>
      </c>
    </row>
    <row r="19" spans="1:11" ht="15" customHeight="1" x14ac:dyDescent="0.3">
      <c r="A19" s="20" t="s">
        <v>19</v>
      </c>
      <c r="B19" s="15">
        <f>[1]SCF!C15</f>
        <v>13315833</v>
      </c>
      <c r="C19" s="21">
        <f>+C20+C21+C22+C23+C24+C25</f>
        <v>6726741.3800000008</v>
      </c>
      <c r="D19" s="21">
        <f t="shared" si="1"/>
        <v>-6589091.6199999992</v>
      </c>
      <c r="E19" s="22">
        <f t="shared" si="0"/>
        <v>-49.48313500176819</v>
      </c>
      <c r="F19" s="21">
        <f>[2]SCF!D15</f>
        <v>1062276.54</v>
      </c>
      <c r="G19" s="21">
        <f>[3]SCF!D15</f>
        <v>951087.38</v>
      </c>
      <c r="H19" s="21">
        <f>[4]SCF!D15</f>
        <v>1114928.74</v>
      </c>
      <c r="I19" s="21">
        <f>[5]SCF!D15</f>
        <v>905176.37</v>
      </c>
      <c r="J19" s="21">
        <f>[6]SCF!D15</f>
        <v>1334055.7</v>
      </c>
      <c r="K19" s="21">
        <f>[1]SCF!D15</f>
        <v>1359216.65</v>
      </c>
    </row>
    <row r="20" spans="1:11" ht="15" customHeight="1" x14ac:dyDescent="0.3">
      <c r="A20" s="23" t="s">
        <v>20</v>
      </c>
      <c r="B20" s="18">
        <f>[1]SCF!C16</f>
        <v>13315833</v>
      </c>
      <c r="C20" s="18">
        <f t="shared" ref="C20:C26" si="3">SUM(F20:K20)</f>
        <v>5414766.0700000012</v>
      </c>
      <c r="D20" s="18">
        <f t="shared" si="1"/>
        <v>-7901066.9299999988</v>
      </c>
      <c r="E20" s="19">
        <f t="shared" ref="E20:E28" si="4">IFERROR(+D20/B20*100,0)</f>
        <v>-59.335881803263824</v>
      </c>
      <c r="F20" s="18">
        <f>[2]SCF!D16</f>
        <v>849191.22</v>
      </c>
      <c r="G20" s="18">
        <f>[3]SCF!D16</f>
        <v>760919.81</v>
      </c>
      <c r="H20" s="18">
        <f>[4]SCF!D16</f>
        <v>891796.25</v>
      </c>
      <c r="I20" s="18">
        <f>[5]SCF!D16</f>
        <v>717664.7</v>
      </c>
      <c r="J20" s="18">
        <f>[6]SCF!D16</f>
        <v>1069202.31</v>
      </c>
      <c r="K20" s="18">
        <f>[1]SCF!D16</f>
        <v>1125991.78</v>
      </c>
    </row>
    <row r="21" spans="1:11" ht="15" customHeight="1" x14ac:dyDescent="0.3">
      <c r="A21" s="23" t="s">
        <v>21</v>
      </c>
      <c r="B21" s="18">
        <f>[1]SCF!C17</f>
        <v>0</v>
      </c>
      <c r="C21" s="18">
        <f t="shared" si="3"/>
        <v>50147.27</v>
      </c>
      <c r="D21" s="18">
        <f t="shared" si="1"/>
        <v>50147.27</v>
      </c>
      <c r="E21" s="19">
        <f t="shared" si="4"/>
        <v>0</v>
      </c>
      <c r="F21" s="18">
        <f>[2]SCF!D17</f>
        <v>8378.2999999999993</v>
      </c>
      <c r="G21" s="18">
        <f>[3]SCF!D17</f>
        <v>7347.71</v>
      </c>
      <c r="H21" s="18">
        <f>[4]SCF!D17</f>
        <v>8524.9699999999993</v>
      </c>
      <c r="I21" s="18">
        <f>[5]SCF!D17</f>
        <v>6830.68</v>
      </c>
      <c r="J21" s="18">
        <f>[6]SCF!D17</f>
        <v>10131.92</v>
      </c>
      <c r="K21" s="18">
        <f>[1]SCF!D17</f>
        <v>8933.69</v>
      </c>
    </row>
    <row r="22" spans="1:11" ht="15" customHeight="1" x14ac:dyDescent="0.3">
      <c r="A22" s="23" t="s">
        <v>22</v>
      </c>
      <c r="B22" s="18">
        <f>[1]SCF!C18</f>
        <v>0</v>
      </c>
      <c r="C22" s="18">
        <f t="shared" si="3"/>
        <v>143.84</v>
      </c>
      <c r="D22" s="18">
        <f t="shared" si="1"/>
        <v>143.84</v>
      </c>
      <c r="E22" s="19">
        <f t="shared" si="4"/>
        <v>0</v>
      </c>
      <c r="F22" s="18">
        <f>[2]SCF!D18</f>
        <v>7.17</v>
      </c>
      <c r="G22" s="18">
        <f>[3]SCF!D18</f>
        <v>1.91</v>
      </c>
      <c r="H22" s="18">
        <f>[4]SCF!D18</f>
        <v>1.5</v>
      </c>
      <c r="I22" s="18">
        <f>[5]SCF!D18</f>
        <v>126.61</v>
      </c>
      <c r="J22" s="18">
        <f>[6]SCF!D18</f>
        <v>1.03</v>
      </c>
      <c r="K22" s="18">
        <f>[1]SCF!D18</f>
        <v>5.62</v>
      </c>
    </row>
    <row r="23" spans="1:11" ht="15" customHeight="1" x14ac:dyDescent="0.3">
      <c r="A23" s="23" t="s">
        <v>23</v>
      </c>
      <c r="B23" s="18">
        <f>[1]SCF!C19</f>
        <v>0</v>
      </c>
      <c r="C23" s="18">
        <f t="shared" si="3"/>
        <v>10074.64</v>
      </c>
      <c r="D23" s="18">
        <f t="shared" si="1"/>
        <v>10074.64</v>
      </c>
      <c r="E23" s="19">
        <f t="shared" si="4"/>
        <v>0</v>
      </c>
      <c r="F23" s="18">
        <f>[2]SCF!D19</f>
        <v>168.74</v>
      </c>
      <c r="G23" s="18">
        <f>[3]SCF!D19</f>
        <v>37.57</v>
      </c>
      <c r="H23" s="18">
        <f>[4]SCF!D19</f>
        <v>69.349999999999994</v>
      </c>
      <c r="I23" s="18">
        <f>[5]SCF!D19</f>
        <v>9667.6299999999992</v>
      </c>
      <c r="J23" s="18">
        <f>[6]SCF!D19</f>
        <v>22.86</v>
      </c>
      <c r="K23" s="18">
        <f>[1]SCF!D19</f>
        <v>108.49</v>
      </c>
    </row>
    <row r="24" spans="1:11" ht="15" customHeight="1" x14ac:dyDescent="0.3">
      <c r="A24" s="23" t="s">
        <v>24</v>
      </c>
      <c r="B24" s="18">
        <f>[1]SCF!C20</f>
        <v>0</v>
      </c>
      <c r="C24" s="18">
        <f t="shared" si="3"/>
        <v>1251609.56</v>
      </c>
      <c r="D24" s="18">
        <f t="shared" si="1"/>
        <v>1251609.56</v>
      </c>
      <c r="E24" s="19">
        <f t="shared" si="4"/>
        <v>0</v>
      </c>
      <c r="F24" s="18">
        <f>[2]SCF!D20</f>
        <v>204531.11</v>
      </c>
      <c r="G24" s="18">
        <f>[3]SCF!D20</f>
        <v>182780.38</v>
      </c>
      <c r="H24" s="18">
        <f>[4]SCF!D20</f>
        <v>214536.67</v>
      </c>
      <c r="I24" s="18">
        <f>[5]SCF!D20</f>
        <v>170886.75</v>
      </c>
      <c r="J24" s="18">
        <f>[6]SCF!D20</f>
        <v>254697.58</v>
      </c>
      <c r="K24" s="18">
        <f>[1]SCF!D20</f>
        <v>224177.07</v>
      </c>
    </row>
    <row r="25" spans="1:11" ht="15" customHeight="1" x14ac:dyDescent="0.3">
      <c r="A25" s="23" t="s">
        <v>25</v>
      </c>
      <c r="B25" s="18">
        <f>[1]SCF!C21</f>
        <v>0</v>
      </c>
      <c r="C25" s="18">
        <f t="shared" si="3"/>
        <v>0</v>
      </c>
      <c r="D25" s="18">
        <f t="shared" si="1"/>
        <v>0</v>
      </c>
      <c r="E25" s="19">
        <f t="shared" si="4"/>
        <v>0</v>
      </c>
      <c r="F25" s="18">
        <f>[2]SCF!D21</f>
        <v>0</v>
      </c>
      <c r="G25" s="18">
        <f>[3]SCF!D21</f>
        <v>0</v>
      </c>
      <c r="H25" s="18">
        <f>[4]SCF!D21</f>
        <v>0</v>
      </c>
      <c r="I25" s="18">
        <f>[5]SCF!D21</f>
        <v>0</v>
      </c>
      <c r="J25" s="18">
        <f>[6]SCF!D21</f>
        <v>0</v>
      </c>
      <c r="K25" s="18">
        <f>[1]SCF!D21</f>
        <v>0</v>
      </c>
    </row>
    <row r="26" spans="1:11" ht="15" customHeight="1" x14ac:dyDescent="0.3">
      <c r="A26" s="17" t="s">
        <v>26</v>
      </c>
      <c r="B26" s="18">
        <f>[1]SCF!C22</f>
        <v>0</v>
      </c>
      <c r="C26" s="18">
        <f t="shared" si="3"/>
        <v>62036.219999999994</v>
      </c>
      <c r="D26" s="18">
        <f t="shared" si="1"/>
        <v>62036.219999999994</v>
      </c>
      <c r="E26" s="19">
        <f t="shared" si="4"/>
        <v>0</v>
      </c>
      <c r="F26" s="18">
        <f>[2]SCF!D22</f>
        <v>25278.65</v>
      </c>
      <c r="G26" s="18">
        <f>[3]SCF!D22</f>
        <v>16952.509999999998</v>
      </c>
      <c r="H26" s="18">
        <f>[4]SCF!D22</f>
        <v>4983.24</v>
      </c>
      <c r="I26" s="18">
        <f>[5]SCF!D22</f>
        <v>7718.27</v>
      </c>
      <c r="J26" s="18">
        <f>[6]SCF!D22</f>
        <v>5413.99</v>
      </c>
      <c r="K26" s="18">
        <f>[1]SCF!D22</f>
        <v>1689.56</v>
      </c>
    </row>
    <row r="27" spans="1:11" ht="15" customHeight="1" x14ac:dyDescent="0.3">
      <c r="A27" s="17" t="s">
        <v>27</v>
      </c>
      <c r="B27" s="18">
        <f>[1]SCF!C23</f>
        <v>16397400</v>
      </c>
      <c r="C27" s="18">
        <f>SUM(F27:K27)</f>
        <v>58549940.5</v>
      </c>
      <c r="D27" s="18">
        <f t="shared" si="1"/>
        <v>42152540.5</v>
      </c>
      <c r="E27" s="19">
        <f t="shared" si="4"/>
        <v>257.06844072840818</v>
      </c>
      <c r="F27" s="18">
        <f>[2]SCF!D23</f>
        <v>10119270.960000001</v>
      </c>
      <c r="G27" s="18">
        <f>[3]SCF!D23</f>
        <v>8944599.0899999999</v>
      </c>
      <c r="H27" s="18">
        <f>[4]SCF!D23</f>
        <v>10593610.300000001</v>
      </c>
      <c r="I27" s="18">
        <f>[5]SCF!D23</f>
        <v>8195235.8899999997</v>
      </c>
      <c r="J27" s="18">
        <f>[6]SCF!D23</f>
        <v>11414053.07</v>
      </c>
      <c r="K27" s="18">
        <f>[1]SCF!D23</f>
        <v>9283171.1899999995</v>
      </c>
    </row>
    <row r="28" spans="1:11" ht="15" customHeight="1" x14ac:dyDescent="0.3">
      <c r="A28" s="17" t="s">
        <v>28</v>
      </c>
      <c r="B28" s="18">
        <f>[1]SCF!C24</f>
        <v>0</v>
      </c>
      <c r="C28" s="18">
        <f>SUM(F28:K28)</f>
        <v>38634.29</v>
      </c>
      <c r="D28" s="18">
        <f t="shared" si="1"/>
        <v>38634.29</v>
      </c>
      <c r="E28" s="19">
        <f t="shared" si="4"/>
        <v>0</v>
      </c>
      <c r="F28" s="18">
        <f>[2]SCF!D24</f>
        <v>6385.68</v>
      </c>
      <c r="G28" s="18">
        <f>[3]SCF!D24</f>
        <v>7108.61</v>
      </c>
      <c r="H28" s="18">
        <f>[4]SCF!D24</f>
        <v>6285</v>
      </c>
      <c r="I28" s="18">
        <f>[5]SCF!D24</f>
        <v>6285</v>
      </c>
      <c r="J28" s="18">
        <f>[6]SCF!D24</f>
        <v>6285</v>
      </c>
      <c r="K28" s="18">
        <f>[1]SCF!D24</f>
        <v>6285</v>
      </c>
    </row>
    <row r="29" spans="1:11" ht="15" customHeight="1" x14ac:dyDescent="0.3">
      <c r="A29" s="14" t="s">
        <v>29</v>
      </c>
      <c r="B29" s="15">
        <f>[1]SCF!C25</f>
        <v>36496019</v>
      </c>
      <c r="C29" s="15">
        <f>+C30+C31+C32</f>
        <v>12626579.76</v>
      </c>
      <c r="D29" s="15">
        <f t="shared" si="1"/>
        <v>-23869439.240000002</v>
      </c>
      <c r="E29" s="16">
        <f t="shared" si="0"/>
        <v>-65.402857336302901</v>
      </c>
      <c r="F29" s="15">
        <f>[2]SCF!D25</f>
        <v>2108901.13</v>
      </c>
      <c r="G29" s="15">
        <f>[3]SCF!D25</f>
        <v>794334.13</v>
      </c>
      <c r="H29" s="15">
        <f>[4]SCF!D25</f>
        <v>5011834.1500000004</v>
      </c>
      <c r="I29" s="15">
        <f>[5]SCF!D25</f>
        <v>2254094.12</v>
      </c>
      <c r="J29" s="15">
        <f>[6]SCF!D25</f>
        <v>1223517.75</v>
      </c>
      <c r="K29" s="15">
        <f>[1]SCF!D25</f>
        <v>1233898.48</v>
      </c>
    </row>
    <row r="30" spans="1:11" ht="15" customHeight="1" x14ac:dyDescent="0.3">
      <c r="A30" s="17" t="s">
        <v>30</v>
      </c>
      <c r="B30" s="18">
        <f>[1]SCF!C26</f>
        <v>6567954</v>
      </c>
      <c r="C30" s="18">
        <f t="shared" ref="C30:C32" si="5">SUM(F30:K30)</f>
        <v>5665040.5099999998</v>
      </c>
      <c r="D30" s="18">
        <f t="shared" si="1"/>
        <v>-902913.49000000022</v>
      </c>
      <c r="E30" s="19">
        <f t="shared" ref="E30:E32" si="6">IFERROR(+D30/B30*100,0)</f>
        <v>-13.747256603806912</v>
      </c>
      <c r="F30" s="18">
        <f>[2]SCF!D26</f>
        <v>922156.55</v>
      </c>
      <c r="G30" s="18">
        <f>[3]SCF!D26</f>
        <v>735384.24</v>
      </c>
      <c r="H30" s="18">
        <f>[4]SCF!D26</f>
        <v>1633573.13</v>
      </c>
      <c r="I30" s="18">
        <f>[5]SCF!D26</f>
        <v>689059.02</v>
      </c>
      <c r="J30" s="18">
        <f>[6]SCF!D26</f>
        <v>984631.02</v>
      </c>
      <c r="K30" s="18">
        <f>[1]SCF!D26</f>
        <v>700236.55</v>
      </c>
    </row>
    <row r="31" spans="1:11" ht="15" customHeight="1" x14ac:dyDescent="0.3">
      <c r="A31" s="17" t="s">
        <v>31</v>
      </c>
      <c r="B31" s="18">
        <f>[1]SCF!C27</f>
        <v>0</v>
      </c>
      <c r="C31" s="18">
        <f t="shared" si="5"/>
        <v>0</v>
      </c>
      <c r="D31" s="18">
        <f t="shared" si="1"/>
        <v>0</v>
      </c>
      <c r="E31" s="19">
        <f t="shared" si="6"/>
        <v>0</v>
      </c>
      <c r="F31" s="18">
        <f>[2]SCF!D27</f>
        <v>0</v>
      </c>
      <c r="G31" s="18">
        <f>[3]SCF!D27</f>
        <v>0</v>
      </c>
      <c r="H31" s="18">
        <f>[4]SCF!D27</f>
        <v>0</v>
      </c>
      <c r="I31" s="18">
        <f>[5]SCF!D27</f>
        <v>0</v>
      </c>
      <c r="J31" s="18">
        <f>[6]SCF!D27</f>
        <v>0</v>
      </c>
      <c r="K31" s="18">
        <f>[1]SCF!D27</f>
        <v>0</v>
      </c>
    </row>
    <row r="32" spans="1:11" x14ac:dyDescent="0.3">
      <c r="A32" s="17" t="s">
        <v>32</v>
      </c>
      <c r="B32" s="18">
        <f>[1]SCF!C28</f>
        <v>29928065</v>
      </c>
      <c r="C32" s="18">
        <f t="shared" si="5"/>
        <v>6961539.25</v>
      </c>
      <c r="D32" s="18">
        <f t="shared" si="1"/>
        <v>-22966525.75</v>
      </c>
      <c r="E32" s="19">
        <f t="shared" si="6"/>
        <v>-76.739093389432284</v>
      </c>
      <c r="F32" s="18">
        <f>[2]SCF!D28</f>
        <v>1186744.58</v>
      </c>
      <c r="G32" s="18">
        <f>[3]SCF!D28</f>
        <v>58949.89</v>
      </c>
      <c r="H32" s="18">
        <f>[4]SCF!D28</f>
        <v>3378261.02</v>
      </c>
      <c r="I32" s="18">
        <f>[5]SCF!D28</f>
        <v>1565035.1</v>
      </c>
      <c r="J32" s="18">
        <f>[6]SCF!D28</f>
        <v>238886.73</v>
      </c>
      <c r="K32" s="18">
        <f>[1]SCF!D28</f>
        <v>533661.93000000005</v>
      </c>
    </row>
    <row r="33" spans="1:11" x14ac:dyDescent="0.3">
      <c r="A33" s="14" t="s">
        <v>33</v>
      </c>
      <c r="B33" s="15">
        <f>[1]SCF!C29</f>
        <v>35333175</v>
      </c>
      <c r="C33" s="15">
        <f>+C34+C35+C36+C37</f>
        <v>0</v>
      </c>
      <c r="D33" s="15">
        <f t="shared" si="1"/>
        <v>-35333175</v>
      </c>
      <c r="E33" s="16">
        <f t="shared" si="0"/>
        <v>-100</v>
      </c>
      <c r="F33" s="15">
        <f>[2]SCF!D29</f>
        <v>0</v>
      </c>
      <c r="G33" s="15">
        <f>[3]SCF!D29</f>
        <v>0</v>
      </c>
      <c r="H33" s="15">
        <f>[4]SCF!D29</f>
        <v>0</v>
      </c>
      <c r="I33" s="15">
        <f>[5]SCF!D29</f>
        <v>0</v>
      </c>
      <c r="J33" s="15">
        <f>[6]SCF!D29</f>
        <v>0</v>
      </c>
      <c r="K33" s="15">
        <f>[1]SCF!D29</f>
        <v>0</v>
      </c>
    </row>
    <row r="34" spans="1:11" ht="15" customHeight="1" x14ac:dyDescent="0.3">
      <c r="A34" s="17" t="s">
        <v>34</v>
      </c>
      <c r="B34" s="18">
        <f>[1]SCF!C30</f>
        <v>0</v>
      </c>
      <c r="C34" s="18">
        <f t="shared" ref="C34:C41" si="7">SUM(F34:K34)</f>
        <v>0</v>
      </c>
      <c r="D34" s="18">
        <f t="shared" si="1"/>
        <v>0</v>
      </c>
      <c r="E34" s="19">
        <f t="shared" ref="E34:E41" si="8">IFERROR(+D34/B34*100,0)</f>
        <v>0</v>
      </c>
      <c r="F34" s="18">
        <f>[2]SCF!D30</f>
        <v>0</v>
      </c>
      <c r="G34" s="18">
        <f>[3]SCF!D30</f>
        <v>0</v>
      </c>
      <c r="H34" s="18">
        <f>[4]SCF!D30</f>
        <v>0</v>
      </c>
      <c r="I34" s="18">
        <f>[5]SCF!D30</f>
        <v>0</v>
      </c>
      <c r="J34" s="18">
        <f>[6]SCF!D30</f>
        <v>0</v>
      </c>
      <c r="K34" s="18">
        <f>[1]SCF!D30</f>
        <v>0</v>
      </c>
    </row>
    <row r="35" spans="1:11" ht="15" customHeight="1" x14ac:dyDescent="0.3">
      <c r="A35" s="17" t="s">
        <v>35</v>
      </c>
      <c r="B35" s="18">
        <f>[1]SCF!C31</f>
        <v>35333175</v>
      </c>
      <c r="C35" s="18">
        <f t="shared" si="7"/>
        <v>0</v>
      </c>
      <c r="D35" s="18">
        <f t="shared" si="1"/>
        <v>-35333175</v>
      </c>
      <c r="E35" s="19">
        <f t="shared" si="8"/>
        <v>-100</v>
      </c>
      <c r="F35" s="18">
        <f>[2]SCF!D31</f>
        <v>0</v>
      </c>
      <c r="G35" s="18">
        <f>[3]SCF!D31</f>
        <v>0</v>
      </c>
      <c r="H35" s="18">
        <f>[4]SCF!D31</f>
        <v>0</v>
      </c>
      <c r="I35" s="18">
        <f>[5]SCF!D31</f>
        <v>0</v>
      </c>
      <c r="J35" s="18">
        <f>[6]SCF!D31</f>
        <v>0</v>
      </c>
      <c r="K35" s="18">
        <f>[1]SCF!D31</f>
        <v>0</v>
      </c>
    </row>
    <row r="36" spans="1:11" ht="20.399999999999999" customHeight="1" x14ac:dyDescent="0.3">
      <c r="A36" s="17" t="s">
        <v>36</v>
      </c>
      <c r="B36" s="18">
        <f>[1]SCF!C32</f>
        <v>0</v>
      </c>
      <c r="C36" s="18">
        <f t="shared" si="7"/>
        <v>0</v>
      </c>
      <c r="D36" s="18">
        <f t="shared" si="1"/>
        <v>0</v>
      </c>
      <c r="E36" s="19">
        <f t="shared" si="8"/>
        <v>0</v>
      </c>
      <c r="F36" s="18">
        <f>[2]SCF!D32</f>
        <v>0</v>
      </c>
      <c r="G36" s="18">
        <f>[3]SCF!D32</f>
        <v>0</v>
      </c>
      <c r="H36" s="18">
        <f>[4]SCF!D32</f>
        <v>0</v>
      </c>
      <c r="I36" s="18">
        <f>[5]SCF!D32</f>
        <v>0</v>
      </c>
      <c r="J36" s="18">
        <f>[6]SCF!D32</f>
        <v>0</v>
      </c>
      <c r="K36" s="18">
        <f>[1]SCF!D32</f>
        <v>0</v>
      </c>
    </row>
    <row r="37" spans="1:11" ht="15" customHeight="1" x14ac:dyDescent="0.3">
      <c r="A37" s="17" t="s">
        <v>37</v>
      </c>
      <c r="B37" s="18">
        <f>[1]SCF!C33</f>
        <v>0</v>
      </c>
      <c r="C37" s="18">
        <f t="shared" si="7"/>
        <v>0</v>
      </c>
      <c r="D37" s="18">
        <f t="shared" si="1"/>
        <v>0</v>
      </c>
      <c r="E37" s="19">
        <f t="shared" si="8"/>
        <v>0</v>
      </c>
      <c r="F37" s="18">
        <f>[2]SCF!D33</f>
        <v>0</v>
      </c>
      <c r="G37" s="18">
        <f>[3]SCF!D33</f>
        <v>0</v>
      </c>
      <c r="H37" s="18">
        <f>[4]SCF!D33</f>
        <v>0</v>
      </c>
      <c r="I37" s="18">
        <f>[5]SCF!D33</f>
        <v>0</v>
      </c>
      <c r="J37" s="18">
        <f>[6]SCF!D33</f>
        <v>0</v>
      </c>
      <c r="K37" s="18">
        <f>[1]SCF!D33</f>
        <v>0</v>
      </c>
    </row>
    <row r="38" spans="1:11" x14ac:dyDescent="0.3">
      <c r="A38" s="24" t="s">
        <v>38</v>
      </c>
      <c r="B38" s="18">
        <f>[1]SCF!C34</f>
        <v>0</v>
      </c>
      <c r="C38" s="18">
        <f t="shared" si="7"/>
        <v>0</v>
      </c>
      <c r="D38" s="18">
        <f t="shared" si="1"/>
        <v>0</v>
      </c>
      <c r="E38" s="19">
        <f t="shared" si="8"/>
        <v>0</v>
      </c>
      <c r="F38" s="18">
        <f>[2]SCF!D34</f>
        <v>0</v>
      </c>
      <c r="G38" s="18">
        <f>[3]SCF!D34</f>
        <v>0</v>
      </c>
      <c r="H38" s="18">
        <f>[4]SCF!D34</f>
        <v>0</v>
      </c>
      <c r="I38" s="18">
        <f>[5]SCF!D34</f>
        <v>0</v>
      </c>
      <c r="J38" s="18">
        <f>[6]SCF!D34</f>
        <v>0</v>
      </c>
      <c r="K38" s="18">
        <f>[1]SCF!D34</f>
        <v>0</v>
      </c>
    </row>
    <row r="39" spans="1:11" ht="15" customHeight="1" x14ac:dyDescent="0.3">
      <c r="A39" s="24" t="s">
        <v>39</v>
      </c>
      <c r="B39" s="18">
        <f>[1]SCF!C35</f>
        <v>0</v>
      </c>
      <c r="C39" s="18">
        <f t="shared" si="7"/>
        <v>0</v>
      </c>
      <c r="D39" s="18">
        <f t="shared" si="1"/>
        <v>0</v>
      </c>
      <c r="E39" s="19">
        <f t="shared" si="8"/>
        <v>0</v>
      </c>
      <c r="F39" s="18">
        <f>[2]SCF!D35</f>
        <v>0</v>
      </c>
      <c r="G39" s="18">
        <f>[3]SCF!D35</f>
        <v>0</v>
      </c>
      <c r="H39" s="18">
        <f>[4]SCF!D35</f>
        <v>0</v>
      </c>
      <c r="I39" s="18">
        <f>[5]SCF!D35</f>
        <v>0</v>
      </c>
      <c r="J39" s="18">
        <f>[6]SCF!D35</f>
        <v>0</v>
      </c>
      <c r="K39" s="18">
        <f>[1]SCF!D35</f>
        <v>0</v>
      </c>
    </row>
    <row r="40" spans="1:11" ht="15" customHeight="1" x14ac:dyDescent="0.3">
      <c r="A40" s="24" t="s">
        <v>40</v>
      </c>
      <c r="B40" s="18">
        <f>[1]SCF!C36</f>
        <v>0</v>
      </c>
      <c r="C40" s="18">
        <f t="shared" si="7"/>
        <v>0</v>
      </c>
      <c r="D40" s="18">
        <f t="shared" si="1"/>
        <v>0</v>
      </c>
      <c r="E40" s="19">
        <f t="shared" si="8"/>
        <v>0</v>
      </c>
      <c r="F40" s="18">
        <f>[2]SCF!D36</f>
        <v>0</v>
      </c>
      <c r="G40" s="18">
        <f>[3]SCF!D36</f>
        <v>0</v>
      </c>
      <c r="H40" s="18">
        <f>[4]SCF!D36</f>
        <v>0</v>
      </c>
      <c r="I40" s="18">
        <f>[5]SCF!D36</f>
        <v>0</v>
      </c>
      <c r="J40" s="18">
        <f>[6]SCF!D36</f>
        <v>0</v>
      </c>
      <c r="K40" s="18">
        <f>[1]SCF!D36</f>
        <v>0</v>
      </c>
    </row>
    <row r="41" spans="1:11" ht="15" customHeight="1" x14ac:dyDescent="0.3">
      <c r="A41" s="24" t="s">
        <v>41</v>
      </c>
      <c r="B41" s="18">
        <f>[1]SCF!C37</f>
        <v>9200358</v>
      </c>
      <c r="C41" s="18">
        <f t="shared" si="7"/>
        <v>4271847.83</v>
      </c>
      <c r="D41" s="18">
        <f t="shared" si="1"/>
        <v>-4928510.17</v>
      </c>
      <c r="E41" s="19">
        <f t="shared" si="8"/>
        <v>-53.56867819708755</v>
      </c>
      <c r="F41" s="18">
        <f>[2]SCF!D37</f>
        <v>688321.19</v>
      </c>
      <c r="G41" s="18">
        <f>[3]SCF!D37</f>
        <v>629522.63</v>
      </c>
      <c r="H41" s="18">
        <f>[4]SCF!D37</f>
        <v>771947.89</v>
      </c>
      <c r="I41" s="18">
        <f>[5]SCF!D37</f>
        <v>586686.19999999995</v>
      </c>
      <c r="J41" s="18">
        <f>[6]SCF!D37</f>
        <v>920198.93</v>
      </c>
      <c r="K41" s="18">
        <f>[1]SCF!D37</f>
        <v>675170.99</v>
      </c>
    </row>
    <row r="42" spans="1:11" ht="15" customHeight="1" x14ac:dyDescent="0.3">
      <c r="A42" s="25" t="s">
        <v>42</v>
      </c>
      <c r="B42" s="26">
        <f>[1]SCF!C38</f>
        <v>1210868588</v>
      </c>
      <c r="C42" s="27">
        <f>+C16+C29+C33+C38+C39+C40+C41</f>
        <v>604387508.84000003</v>
      </c>
      <c r="D42" s="27">
        <f t="shared" si="1"/>
        <v>-606481079.15999997</v>
      </c>
      <c r="E42" s="28">
        <f t="shared" si="0"/>
        <v>-50.086449113501985</v>
      </c>
      <c r="F42" s="27">
        <f>[2]SCF!D38</f>
        <v>97846016.780000001</v>
      </c>
      <c r="G42" s="27">
        <f>[3]SCF!D38</f>
        <v>86084444.540000007</v>
      </c>
      <c r="H42" s="27">
        <f>[4]SCF!D38</f>
        <v>106307377.16</v>
      </c>
      <c r="I42" s="27">
        <f t="shared" ref="I42" si="9">I16+I29+I33+I38+I39+I40+I41</f>
        <v>85784680.340000004</v>
      </c>
      <c r="J42" s="27">
        <f>[6]SCF!D38</f>
        <v>121695639.15000001</v>
      </c>
      <c r="K42" s="27">
        <f>[1]SCF!D38</f>
        <v>106669350.87</v>
      </c>
    </row>
    <row r="43" spans="1:11" ht="18" customHeight="1" x14ac:dyDescent="0.3">
      <c r="A43" s="29" t="s">
        <v>15</v>
      </c>
      <c r="B43" s="3"/>
      <c r="C43" s="3"/>
      <c r="D43" s="3"/>
      <c r="E43" s="3"/>
    </row>
    <row r="44" spans="1:11" ht="15" customHeight="1" x14ac:dyDescent="0.3">
      <c r="A44" s="10" t="s">
        <v>43</v>
      </c>
      <c r="B44" s="11" t="s">
        <v>15</v>
      </c>
      <c r="C44" s="12" t="s">
        <v>15</v>
      </c>
      <c r="D44" s="11" t="s">
        <v>15</v>
      </c>
      <c r="E44" s="13" t="s">
        <v>15</v>
      </c>
      <c r="F44" s="12" t="s">
        <v>15</v>
      </c>
      <c r="G44" s="12" t="s">
        <v>15</v>
      </c>
      <c r="H44" s="12" t="s">
        <v>15</v>
      </c>
      <c r="I44" s="12" t="s">
        <v>15</v>
      </c>
      <c r="J44" s="12" t="s">
        <v>15</v>
      </c>
      <c r="K44" s="12" t="s">
        <v>15</v>
      </c>
    </row>
    <row r="45" spans="1:11" ht="15" customHeight="1" x14ac:dyDescent="0.3">
      <c r="A45" s="24" t="s">
        <v>44</v>
      </c>
      <c r="B45" s="18">
        <f>[1]SCF!C41</f>
        <v>855363106</v>
      </c>
      <c r="C45" s="18">
        <f>SUM(F45:K45)</f>
        <v>411492826.25</v>
      </c>
      <c r="D45" s="18">
        <f>C45-B45</f>
        <v>-443870279.75</v>
      </c>
      <c r="E45" s="19">
        <f>IFERROR(+D45/B45*100,0)</f>
        <v>-51.892614567596276</v>
      </c>
      <c r="F45" s="18">
        <f>[2]SCF!D41</f>
        <v>70586614.75</v>
      </c>
      <c r="G45" s="18">
        <f>[3]SCF!D41</f>
        <v>65035566.159999996</v>
      </c>
      <c r="H45" s="18">
        <f>[4]SCF!D41</f>
        <v>63674381.259999998</v>
      </c>
      <c r="I45" s="18">
        <f>[5]SCF!D41</f>
        <v>55485212.020000003</v>
      </c>
      <c r="J45" s="18">
        <f>[6]SCF!D41</f>
        <v>74044629.170000002</v>
      </c>
      <c r="K45" s="18">
        <f>[1]SCF!D41</f>
        <v>82666422.890000001</v>
      </c>
    </row>
    <row r="46" spans="1:11" ht="15" customHeight="1" x14ac:dyDescent="0.3">
      <c r="A46" s="14" t="s">
        <v>45</v>
      </c>
      <c r="B46" s="15">
        <f>[1]SCF!C42</f>
        <v>131255181</v>
      </c>
      <c r="C46" s="15">
        <f>SUM(C47:C61)</f>
        <v>47301524.430000007</v>
      </c>
      <c r="D46" s="15">
        <f t="shared" ref="D46:D61" si="10">+B46-C46</f>
        <v>83953656.569999993</v>
      </c>
      <c r="E46" s="16">
        <f t="shared" ref="E46" si="11">+D46/B46*100</f>
        <v>63.962165859189966</v>
      </c>
      <c r="F46" s="15">
        <f>[2]SCF!D42</f>
        <v>7525720.96</v>
      </c>
      <c r="G46" s="15">
        <f>[3]SCF!D42</f>
        <v>8095218.3399999999</v>
      </c>
      <c r="H46" s="15">
        <f>[4]SCF!D42</f>
        <v>7311005.1399999997</v>
      </c>
      <c r="I46" s="15">
        <f>[5]SCF!D42</f>
        <v>8455282.2899999991</v>
      </c>
      <c r="J46" s="15">
        <f>[6]SCF!D42</f>
        <v>9126567.2200000007</v>
      </c>
      <c r="K46" s="15">
        <f>[1]SCF!D42</f>
        <v>6787730.4800000004</v>
      </c>
    </row>
    <row r="47" spans="1:11" ht="15" customHeight="1" x14ac:dyDescent="0.3">
      <c r="A47" s="17" t="s">
        <v>46</v>
      </c>
      <c r="B47" s="18">
        <f>[1]SCF!C43</f>
        <v>65017183</v>
      </c>
      <c r="C47" s="18">
        <f t="shared" ref="C47:C61" si="12">SUM(F47:K47)</f>
        <v>26932101.710000005</v>
      </c>
      <c r="D47" s="18">
        <f t="shared" si="10"/>
        <v>38085081.289999992</v>
      </c>
      <c r="E47" s="19">
        <f t="shared" ref="E47:E61" si="13">IFERROR(+D47/B47*100,0)</f>
        <v>58.57694771242241</v>
      </c>
      <c r="F47" s="18">
        <f>[2]SCF!D43</f>
        <v>4616074.75</v>
      </c>
      <c r="G47" s="18">
        <f>[3]SCF!D43</f>
        <v>4075510.3</v>
      </c>
      <c r="H47" s="18">
        <f>[4]SCF!D43</f>
        <v>4078560.93</v>
      </c>
      <c r="I47" s="18">
        <f>[5]SCF!D43</f>
        <v>3981937.87</v>
      </c>
      <c r="J47" s="18">
        <f>[6]SCF!D43</f>
        <v>6206404.9199999999</v>
      </c>
      <c r="K47" s="18">
        <f>[1]SCF!D43</f>
        <v>3973612.94</v>
      </c>
    </row>
    <row r="48" spans="1:11" ht="15" customHeight="1" x14ac:dyDescent="0.3">
      <c r="A48" s="17" t="s">
        <v>47</v>
      </c>
      <c r="B48" s="18">
        <f>[1]SCF!C44</f>
        <v>6205113</v>
      </c>
      <c r="C48" s="18">
        <f t="shared" si="12"/>
        <v>3019090.98</v>
      </c>
      <c r="D48" s="18">
        <f t="shared" si="10"/>
        <v>3186022.02</v>
      </c>
      <c r="E48" s="19">
        <f t="shared" si="13"/>
        <v>51.345108783675656</v>
      </c>
      <c r="F48" s="18">
        <f>[2]SCF!D44</f>
        <v>515795</v>
      </c>
      <c r="G48" s="18">
        <f>[3]SCF!D44</f>
        <v>491327.3</v>
      </c>
      <c r="H48" s="18">
        <f>[4]SCF!D44</f>
        <v>498437.3</v>
      </c>
      <c r="I48" s="18">
        <f>[5]SCF!D44</f>
        <v>495120.44</v>
      </c>
      <c r="J48" s="18">
        <f>[6]SCF!D44</f>
        <v>520588.26</v>
      </c>
      <c r="K48" s="18">
        <f>[1]SCF!D44</f>
        <v>497822.68</v>
      </c>
    </row>
    <row r="49" spans="1:11" ht="15" customHeight="1" x14ac:dyDescent="0.3">
      <c r="A49" s="17" t="s">
        <v>48</v>
      </c>
      <c r="B49" s="18">
        <f>[1]SCF!C45</f>
        <v>16017472</v>
      </c>
      <c r="C49" s="18">
        <f t="shared" si="12"/>
        <v>6625218.5200000005</v>
      </c>
      <c r="D49" s="18">
        <f t="shared" si="10"/>
        <v>9392253.4800000004</v>
      </c>
      <c r="E49" s="19">
        <f t="shared" si="13"/>
        <v>58.63755204316886</v>
      </c>
      <c r="F49" s="18">
        <f>[2]SCF!D45</f>
        <v>584811.66</v>
      </c>
      <c r="G49" s="18">
        <f>[3]SCF!D45</f>
        <v>1461030.31</v>
      </c>
      <c r="H49" s="18">
        <f>[4]SCF!D45</f>
        <v>1409705.33</v>
      </c>
      <c r="I49" s="18">
        <f>[5]SCF!D45</f>
        <v>1957496.92</v>
      </c>
      <c r="J49" s="18">
        <f>[6]SCF!D45</f>
        <v>623457.30000000005</v>
      </c>
      <c r="K49" s="18">
        <f>[1]SCF!D45</f>
        <v>588717</v>
      </c>
    </row>
    <row r="50" spans="1:11" ht="15" customHeight="1" x14ac:dyDescent="0.3">
      <c r="A50" s="17" t="s">
        <v>49</v>
      </c>
      <c r="B50" s="18">
        <f>[1]SCF!C46</f>
        <v>276000</v>
      </c>
      <c r="C50" s="18">
        <f t="shared" si="12"/>
        <v>123000</v>
      </c>
      <c r="D50" s="18">
        <f t="shared" si="10"/>
        <v>153000</v>
      </c>
      <c r="E50" s="19">
        <f t="shared" si="13"/>
        <v>55.434782608695656</v>
      </c>
      <c r="F50" s="18">
        <f>[2]SCF!D46</f>
        <v>20500</v>
      </c>
      <c r="G50" s="18">
        <f>[3]SCF!D46</f>
        <v>20500</v>
      </c>
      <c r="H50" s="18">
        <f>[4]SCF!D46</f>
        <v>20500</v>
      </c>
      <c r="I50" s="18">
        <f>[5]SCF!D46</f>
        <v>20500</v>
      </c>
      <c r="J50" s="18">
        <f>[6]SCF!D46</f>
        <v>20500</v>
      </c>
      <c r="K50" s="18">
        <f>[1]SCF!D46</f>
        <v>20500</v>
      </c>
    </row>
    <row r="51" spans="1:11" ht="15" customHeight="1" x14ac:dyDescent="0.3">
      <c r="A51" s="17" t="s">
        <v>50</v>
      </c>
      <c r="B51" s="18">
        <f>[1]SCF!C47</f>
        <v>2610773</v>
      </c>
      <c r="C51" s="18">
        <f t="shared" si="12"/>
        <v>1189912.8500000001</v>
      </c>
      <c r="D51" s="18">
        <f t="shared" si="10"/>
        <v>1420860.15</v>
      </c>
      <c r="E51" s="19">
        <f t="shared" si="13"/>
        <v>54.422967833664579</v>
      </c>
      <c r="F51" s="18">
        <f>[2]SCF!D47</f>
        <v>34003</v>
      </c>
      <c r="G51" s="18">
        <f>[3]SCF!D47</f>
        <v>661864.24</v>
      </c>
      <c r="H51" s="18">
        <f>[4]SCF!D47</f>
        <v>153720.76</v>
      </c>
      <c r="I51" s="18">
        <f>[5]SCF!D47</f>
        <v>45615.5</v>
      </c>
      <c r="J51" s="18">
        <f>[6]SCF!D47</f>
        <v>252056.35</v>
      </c>
      <c r="K51" s="18">
        <f>[1]SCF!D47</f>
        <v>42653</v>
      </c>
    </row>
    <row r="52" spans="1:11" x14ac:dyDescent="0.3">
      <c r="A52" s="17" t="s">
        <v>51</v>
      </c>
      <c r="B52" s="18">
        <f>[1]SCF!C48</f>
        <v>4964800</v>
      </c>
      <c r="C52" s="18">
        <f t="shared" si="12"/>
        <v>861285.98</v>
      </c>
      <c r="D52" s="18">
        <f t="shared" si="10"/>
        <v>4103514.02</v>
      </c>
      <c r="E52" s="19">
        <f t="shared" si="13"/>
        <v>82.65215154689011</v>
      </c>
      <c r="F52" s="18">
        <f>[2]SCF!D48</f>
        <v>67189</v>
      </c>
      <c r="G52" s="18">
        <f>[3]SCF!D48</f>
        <v>118026</v>
      </c>
      <c r="H52" s="18">
        <f>[4]SCF!D48</f>
        <v>45270.26</v>
      </c>
      <c r="I52" s="18">
        <f>[5]SCF!D48</f>
        <v>211850</v>
      </c>
      <c r="J52" s="18">
        <f>[6]SCF!D48</f>
        <v>110007</v>
      </c>
      <c r="K52" s="18">
        <f>[1]SCF!D48</f>
        <v>308943.71999999997</v>
      </c>
    </row>
    <row r="53" spans="1:11" ht="15" customHeight="1" x14ac:dyDescent="0.3">
      <c r="A53" s="17" t="s">
        <v>52</v>
      </c>
      <c r="B53" s="18">
        <f>[1]SCF!C49</f>
        <v>6599734</v>
      </c>
      <c r="C53" s="18">
        <f t="shared" si="12"/>
        <v>2510037.4499999997</v>
      </c>
      <c r="D53" s="18">
        <f t="shared" si="10"/>
        <v>4089696.5500000003</v>
      </c>
      <c r="E53" s="19">
        <f t="shared" si="13"/>
        <v>61.967596724352838</v>
      </c>
      <c r="F53" s="18">
        <f>[2]SCF!D49</f>
        <v>432851.8</v>
      </c>
      <c r="G53" s="18">
        <f>[3]SCF!D49</f>
        <v>437980.69</v>
      </c>
      <c r="H53" s="18">
        <f>[4]SCF!D49</f>
        <v>400139.2</v>
      </c>
      <c r="I53" s="18">
        <f>[5]SCF!D49</f>
        <v>401412.23</v>
      </c>
      <c r="J53" s="18">
        <f>[6]SCF!D49</f>
        <v>436244.47</v>
      </c>
      <c r="K53" s="18">
        <f>[1]SCF!D49</f>
        <v>401409.06</v>
      </c>
    </row>
    <row r="54" spans="1:11" ht="15" customHeight="1" x14ac:dyDescent="0.3">
      <c r="A54" s="17" t="s">
        <v>53</v>
      </c>
      <c r="B54" s="18">
        <f>[1]SCF!C50</f>
        <v>2290101</v>
      </c>
      <c r="C54" s="18">
        <f t="shared" si="12"/>
        <v>1312509.7699999998</v>
      </c>
      <c r="D54" s="18">
        <f t="shared" si="10"/>
        <v>977591.23000000021</v>
      </c>
      <c r="E54" s="19">
        <f t="shared" si="13"/>
        <v>42.687690630238592</v>
      </c>
      <c r="F54" s="18">
        <f>[2]SCF!D50</f>
        <v>179936.96</v>
      </c>
      <c r="G54" s="18">
        <f>[3]SCF!D50</f>
        <v>192536.61</v>
      </c>
      <c r="H54" s="18">
        <f>[4]SCF!D50</f>
        <v>164611.31</v>
      </c>
      <c r="I54" s="18">
        <f>[5]SCF!D50</f>
        <v>303952.75</v>
      </c>
      <c r="J54" s="18">
        <f>[6]SCF!D50</f>
        <v>195955.71</v>
      </c>
      <c r="K54" s="18">
        <f>[1]SCF!D50</f>
        <v>275516.43</v>
      </c>
    </row>
    <row r="55" spans="1:11" ht="15" customHeight="1" x14ac:dyDescent="0.3">
      <c r="A55" s="17" t="s">
        <v>54</v>
      </c>
      <c r="B55" s="18">
        <f>[1]SCF!C51</f>
        <v>1726800</v>
      </c>
      <c r="C55" s="18">
        <f t="shared" si="12"/>
        <v>502800</v>
      </c>
      <c r="D55" s="18">
        <f t="shared" si="10"/>
        <v>1224000</v>
      </c>
      <c r="E55" s="19">
        <f t="shared" si="13"/>
        <v>70.882557331480186</v>
      </c>
      <c r="F55" s="18">
        <f>[2]SCF!D51</f>
        <v>83800</v>
      </c>
      <c r="G55" s="18">
        <f>[3]SCF!D51</f>
        <v>83800</v>
      </c>
      <c r="H55" s="18">
        <f>[4]SCF!D51</f>
        <v>83800</v>
      </c>
      <c r="I55" s="18">
        <f>[5]SCF!D51</f>
        <v>83800</v>
      </c>
      <c r="J55" s="18">
        <f>[6]SCF!D51</f>
        <v>83800</v>
      </c>
      <c r="K55" s="18">
        <f>[1]SCF!D51</f>
        <v>83800</v>
      </c>
    </row>
    <row r="56" spans="1:11" ht="15" customHeight="1" x14ac:dyDescent="0.3">
      <c r="A56" s="17" t="s">
        <v>55</v>
      </c>
      <c r="B56" s="18">
        <f>[1]SCF!C52</f>
        <v>1806000</v>
      </c>
      <c r="C56" s="18">
        <f t="shared" si="12"/>
        <v>777673.04</v>
      </c>
      <c r="D56" s="18">
        <f t="shared" si="10"/>
        <v>1028326.96</v>
      </c>
      <c r="E56" s="19">
        <f t="shared" si="13"/>
        <v>56.939477297895905</v>
      </c>
      <c r="F56" s="18">
        <f>[2]SCF!D52</f>
        <v>129523.19</v>
      </c>
      <c r="G56" s="18">
        <f>[3]SCF!D52</f>
        <v>134900</v>
      </c>
      <c r="H56" s="18">
        <f>[4]SCF!D52</f>
        <v>129523.19</v>
      </c>
      <c r="I56" s="18">
        <f>[5]SCF!D52</f>
        <v>134900</v>
      </c>
      <c r="J56" s="18">
        <f>[6]SCF!D52</f>
        <v>124326.66</v>
      </c>
      <c r="K56" s="18">
        <f>[1]SCF!D52</f>
        <v>124500</v>
      </c>
    </row>
    <row r="57" spans="1:11" ht="15" customHeight="1" x14ac:dyDescent="0.3">
      <c r="A57" s="17" t="s">
        <v>56</v>
      </c>
      <c r="B57" s="18">
        <f>[1]SCF!C53</f>
        <v>7122398</v>
      </c>
      <c r="C57" s="18">
        <f t="shared" si="12"/>
        <v>1349713.7200000002</v>
      </c>
      <c r="D57" s="18">
        <f t="shared" si="10"/>
        <v>5772684.2799999993</v>
      </c>
      <c r="E57" s="19">
        <f t="shared" si="13"/>
        <v>81.049729037888625</v>
      </c>
      <c r="F57" s="18">
        <f>[2]SCF!D53</f>
        <v>313185.15999999997</v>
      </c>
      <c r="G57" s="18">
        <f>[3]SCF!D53</f>
        <v>181685.16</v>
      </c>
      <c r="H57" s="18">
        <f>[4]SCF!D53</f>
        <v>220215.16</v>
      </c>
      <c r="I57" s="18">
        <f>[5]SCF!D53</f>
        <v>325082</v>
      </c>
      <c r="J57" s="18">
        <f>[6]SCF!D53</f>
        <v>179023.12</v>
      </c>
      <c r="K57" s="18">
        <f>[1]SCF!D53</f>
        <v>130523.12</v>
      </c>
    </row>
    <row r="58" spans="1:11" ht="15" customHeight="1" x14ac:dyDescent="0.3">
      <c r="A58" s="17" t="s">
        <v>57</v>
      </c>
      <c r="B58" s="18">
        <f>[1]SCF!C54</f>
        <v>2887100</v>
      </c>
      <c r="C58" s="18">
        <f t="shared" si="12"/>
        <v>131819.97999999998</v>
      </c>
      <c r="D58" s="18">
        <f t="shared" si="10"/>
        <v>2755280.02</v>
      </c>
      <c r="E58" s="19">
        <f t="shared" si="13"/>
        <v>95.434173391985027</v>
      </c>
      <c r="F58" s="18">
        <f>[2]SCF!D54</f>
        <v>0</v>
      </c>
      <c r="G58" s="18">
        <f>[3]SCF!D54</f>
        <v>100269.98</v>
      </c>
      <c r="H58" s="18">
        <f>[4]SCF!D54</f>
        <v>16100</v>
      </c>
      <c r="I58" s="18">
        <f>[5]SCF!D54</f>
        <v>0</v>
      </c>
      <c r="J58" s="18">
        <f>[6]SCF!D54</f>
        <v>0</v>
      </c>
      <c r="K58" s="18">
        <f>[1]SCF!D54</f>
        <v>15450</v>
      </c>
    </row>
    <row r="59" spans="1:11" ht="15" customHeight="1" x14ac:dyDescent="0.3">
      <c r="A59" s="17" t="s">
        <v>58</v>
      </c>
      <c r="B59" s="18">
        <f>[1]SCF!C55</f>
        <v>12432300</v>
      </c>
      <c r="C59" s="18">
        <f t="shared" si="12"/>
        <v>1472552.7</v>
      </c>
      <c r="D59" s="18">
        <f t="shared" si="10"/>
        <v>10959747.300000001</v>
      </c>
      <c r="E59" s="19">
        <f t="shared" si="13"/>
        <v>88.155428199126476</v>
      </c>
      <c r="F59" s="18">
        <f>[2]SCF!D55</f>
        <v>236570.71</v>
      </c>
      <c r="G59" s="18">
        <f>[3]SCF!D55</f>
        <v>88060.5</v>
      </c>
      <c r="H59" s="18">
        <f>[4]SCF!D55</f>
        <v>68742</v>
      </c>
      <c r="I59" s="18">
        <f>[5]SCF!D55</f>
        <v>459818.73</v>
      </c>
      <c r="J59" s="18">
        <f>[6]SCF!D55</f>
        <v>339283.83</v>
      </c>
      <c r="K59" s="18">
        <f>[1]SCF!D55</f>
        <v>280076.93</v>
      </c>
    </row>
    <row r="60" spans="1:11" ht="15" customHeight="1" x14ac:dyDescent="0.3">
      <c r="A60" s="17" t="s">
        <v>59</v>
      </c>
      <c r="B60" s="18">
        <f>[1]SCF!C56</f>
        <v>277731</v>
      </c>
      <c r="C60" s="18">
        <f t="shared" si="12"/>
        <v>90315.660000000018</v>
      </c>
      <c r="D60" s="18">
        <f t="shared" si="10"/>
        <v>187415.33999999997</v>
      </c>
      <c r="E60" s="19">
        <f t="shared" si="13"/>
        <v>67.480886181232918</v>
      </c>
      <c r="F60" s="18">
        <f>[2]SCF!D56</f>
        <v>31456.21</v>
      </c>
      <c r="G60" s="18">
        <f>[3]SCF!D56</f>
        <v>7710</v>
      </c>
      <c r="H60" s="18">
        <f>[4]SCF!D56</f>
        <v>17323.7</v>
      </c>
      <c r="I60" s="18">
        <f>[5]SCF!D56</f>
        <v>15693.85</v>
      </c>
      <c r="J60" s="18">
        <f>[6]SCF!D56</f>
        <v>7659.6</v>
      </c>
      <c r="K60" s="18">
        <f>[1]SCF!D56</f>
        <v>10472.299999999999</v>
      </c>
    </row>
    <row r="61" spans="1:11" ht="15" customHeight="1" x14ac:dyDescent="0.3">
      <c r="A61" s="17" t="s">
        <v>60</v>
      </c>
      <c r="B61" s="18">
        <f>[1]SCF!C57</f>
        <v>1021676</v>
      </c>
      <c r="C61" s="18">
        <f t="shared" si="12"/>
        <v>403492.07</v>
      </c>
      <c r="D61" s="18">
        <f t="shared" si="10"/>
        <v>618183.92999999993</v>
      </c>
      <c r="E61" s="19">
        <f t="shared" si="13"/>
        <v>60.506846593244823</v>
      </c>
      <c r="F61" s="18">
        <f>[2]SCF!D57</f>
        <v>280023.52</v>
      </c>
      <c r="G61" s="18">
        <f>[3]SCF!D57</f>
        <v>40017.25</v>
      </c>
      <c r="H61" s="18">
        <f>[4]SCF!D57</f>
        <v>4356</v>
      </c>
      <c r="I61" s="18">
        <f>[5]SCF!D57</f>
        <v>18102</v>
      </c>
      <c r="J61" s="18">
        <f>[6]SCF!D57</f>
        <v>27260</v>
      </c>
      <c r="K61" s="18">
        <f>[1]SCF!D57</f>
        <v>33733.300000000003</v>
      </c>
    </row>
    <row r="62" spans="1:11" ht="15" customHeight="1" x14ac:dyDescent="0.3">
      <c r="A62" s="10" t="s">
        <v>61</v>
      </c>
      <c r="B62" s="11" t="s">
        <v>15</v>
      </c>
      <c r="C62" s="18"/>
      <c r="D62" s="11" t="s">
        <v>15</v>
      </c>
      <c r="E62" s="13" t="s">
        <v>15</v>
      </c>
      <c r="F62" s="12"/>
      <c r="G62" s="12"/>
      <c r="H62" s="12"/>
      <c r="I62" s="12"/>
      <c r="J62" s="12"/>
      <c r="K62" s="12"/>
    </row>
    <row r="63" spans="1:11" x14ac:dyDescent="0.3">
      <c r="A63" s="24" t="s">
        <v>62</v>
      </c>
      <c r="B63" s="18">
        <f>[1]SCF!C60</f>
        <v>19140908</v>
      </c>
      <c r="C63" s="18">
        <f t="shared" ref="C63:C64" si="14">SUM(F63:K63)</f>
        <v>1178657</v>
      </c>
      <c r="D63" s="18">
        <f t="shared" ref="D63:D67" si="15">C63-B63</f>
        <v>-17962251</v>
      </c>
      <c r="E63" s="19">
        <f t="shared" ref="E63:E67" si="16">IFERROR(+D63/B63*100,0)</f>
        <v>-93.842209575428711</v>
      </c>
      <c r="F63" s="18">
        <f>[2]SCF!D60</f>
        <v>0</v>
      </c>
      <c r="G63" s="18">
        <f>[3]SCF!D60</f>
        <v>0</v>
      </c>
      <c r="H63" s="18">
        <f>[4]SCF!D60</f>
        <v>589328</v>
      </c>
      <c r="I63" s="18">
        <f>[5]SCF!D60</f>
        <v>0</v>
      </c>
      <c r="J63" s="18">
        <f>[6]SCF!D60</f>
        <v>589329</v>
      </c>
      <c r="K63" s="18">
        <f>[1]SCF!D60</f>
        <v>0</v>
      </c>
    </row>
    <row r="64" spans="1:11" x14ac:dyDescent="0.3">
      <c r="A64" s="24" t="s">
        <v>63</v>
      </c>
      <c r="B64" s="18">
        <f>[1]SCF!C61</f>
        <v>37221236</v>
      </c>
      <c r="C64" s="18">
        <f t="shared" si="14"/>
        <v>0</v>
      </c>
      <c r="D64" s="18">
        <f t="shared" si="15"/>
        <v>-37221236</v>
      </c>
      <c r="E64" s="19">
        <f t="shared" si="16"/>
        <v>-100</v>
      </c>
      <c r="F64" s="18">
        <f>[2]SCF!D61</f>
        <v>0</v>
      </c>
      <c r="G64" s="18">
        <f>[3]SCF!D61</f>
        <v>0</v>
      </c>
      <c r="H64" s="18">
        <f>[4]SCF!D61</f>
        <v>0</v>
      </c>
      <c r="I64" s="18">
        <f>[5]SCF!D61</f>
        <v>0</v>
      </c>
      <c r="J64" s="18">
        <f>[6]SCF!D61</f>
        <v>0</v>
      </c>
      <c r="K64" s="18">
        <f>[1]SCF!D61</f>
        <v>0</v>
      </c>
    </row>
    <row r="65" spans="1:11" ht="15" customHeight="1" x14ac:dyDescent="0.3">
      <c r="A65" s="24" t="s">
        <v>64</v>
      </c>
      <c r="B65" s="18">
        <f>[1]SCF!C62</f>
        <v>0</v>
      </c>
      <c r="C65" s="18">
        <f>SUM(F65:K65)</f>
        <v>0</v>
      </c>
      <c r="D65" s="18">
        <f t="shared" si="15"/>
        <v>0</v>
      </c>
      <c r="E65" s="19">
        <f t="shared" si="16"/>
        <v>0</v>
      </c>
      <c r="F65" s="18">
        <f>[2]SCF!D62</f>
        <v>0</v>
      </c>
      <c r="G65" s="18">
        <f>[3]SCF!D62</f>
        <v>0</v>
      </c>
      <c r="H65" s="18">
        <f>[4]SCF!D62</f>
        <v>0</v>
      </c>
      <c r="I65" s="18">
        <f>[5]SCF!D62</f>
        <v>0</v>
      </c>
      <c r="J65" s="18">
        <f>[6]SCF!D62</f>
        <v>0</v>
      </c>
      <c r="K65" s="18">
        <f>[1]SCF!D62</f>
        <v>0</v>
      </c>
    </row>
    <row r="66" spans="1:11" ht="15" customHeight="1" x14ac:dyDescent="0.3">
      <c r="A66" s="24" t="s">
        <v>65</v>
      </c>
      <c r="B66" s="18">
        <f>[1]SCF!C63</f>
        <v>0</v>
      </c>
      <c r="C66" s="18">
        <f t="shared" ref="C66:C67" si="17">SUM(F66:K66)</f>
        <v>0</v>
      </c>
      <c r="D66" s="18">
        <f t="shared" si="15"/>
        <v>0</v>
      </c>
      <c r="E66" s="19">
        <f t="shared" si="16"/>
        <v>0</v>
      </c>
      <c r="F66" s="18">
        <f>[2]SCF!D63</f>
        <v>0</v>
      </c>
      <c r="G66" s="18">
        <f>[3]SCF!D63</f>
        <v>0</v>
      </c>
      <c r="H66" s="18">
        <f>[4]SCF!D63</f>
        <v>0</v>
      </c>
      <c r="I66" s="18">
        <f>[5]SCF!D63</f>
        <v>0</v>
      </c>
      <c r="J66" s="18">
        <f>[6]SCF!D63</f>
        <v>0</v>
      </c>
      <c r="K66" s="18">
        <f>[1]SCF!D63</f>
        <v>0</v>
      </c>
    </row>
    <row r="67" spans="1:11" ht="15" customHeight="1" x14ac:dyDescent="0.3">
      <c r="A67" s="24" t="s">
        <v>66</v>
      </c>
      <c r="B67" s="18">
        <f>[1]SCF!C64</f>
        <v>0</v>
      </c>
      <c r="C67" s="18">
        <f t="shared" si="17"/>
        <v>0</v>
      </c>
      <c r="D67" s="18">
        <f t="shared" si="15"/>
        <v>0</v>
      </c>
      <c r="E67" s="19">
        <f t="shared" si="16"/>
        <v>0</v>
      </c>
      <c r="F67" s="18">
        <f>[2]SCF!D64</f>
        <v>0</v>
      </c>
      <c r="G67" s="18">
        <f>[3]SCF!D64</f>
        <v>0</v>
      </c>
      <c r="H67" s="18">
        <f>[4]SCF!D64</f>
        <v>0</v>
      </c>
      <c r="I67" s="18">
        <f>[5]SCF!D64</f>
        <v>0</v>
      </c>
      <c r="J67" s="18">
        <f>[6]SCF!D64</f>
        <v>0</v>
      </c>
      <c r="K67" s="18">
        <f>[1]SCF!D64</f>
        <v>0</v>
      </c>
    </row>
    <row r="68" spans="1:11" ht="15" customHeight="1" x14ac:dyDescent="0.3">
      <c r="A68" s="30" t="s">
        <v>67</v>
      </c>
      <c r="B68" s="15">
        <f>+B63+B64+B65+B66+B67</f>
        <v>56362144</v>
      </c>
      <c r="C68" s="31">
        <f>+C63+C64+C65+C66+C67</f>
        <v>1178657</v>
      </c>
      <c r="D68" s="31">
        <f t="shared" ref="D68" si="18">+C68-B68</f>
        <v>-55183487</v>
      </c>
      <c r="E68" s="32">
        <f t="shared" ref="E68" si="19">+D68/B68*100</f>
        <v>-97.90877898470292</v>
      </c>
      <c r="F68" s="31">
        <f t="shared" ref="F68:K68" si="20">+F63+F64+F65+F66+F67</f>
        <v>0</v>
      </c>
      <c r="G68" s="31">
        <f>[3]SCF!D65</f>
        <v>0</v>
      </c>
      <c r="H68" s="31">
        <f t="shared" si="20"/>
        <v>589328</v>
      </c>
      <c r="I68" s="31">
        <f t="shared" si="20"/>
        <v>0</v>
      </c>
      <c r="J68" s="31">
        <f t="shared" si="20"/>
        <v>589329</v>
      </c>
      <c r="K68" s="31">
        <f t="shared" si="20"/>
        <v>0</v>
      </c>
    </row>
    <row r="69" spans="1:11" ht="15" customHeight="1" x14ac:dyDescent="0.3">
      <c r="A69" s="10" t="s">
        <v>68</v>
      </c>
      <c r="B69" s="11" t="s">
        <v>15</v>
      </c>
      <c r="C69" s="12" t="s">
        <v>15</v>
      </c>
      <c r="D69" s="11" t="s">
        <v>15</v>
      </c>
      <c r="E69" s="13" t="s">
        <v>15</v>
      </c>
      <c r="F69" s="12" t="s">
        <v>15</v>
      </c>
      <c r="G69" s="12" t="s">
        <v>15</v>
      </c>
      <c r="H69" s="12" t="s">
        <v>15</v>
      </c>
      <c r="I69" s="12" t="s">
        <v>15</v>
      </c>
      <c r="J69" s="12" t="s">
        <v>15</v>
      </c>
      <c r="K69" s="12" t="s">
        <v>15</v>
      </c>
    </row>
    <row r="70" spans="1:11" ht="15" customHeight="1" x14ac:dyDescent="0.3">
      <c r="A70" s="14" t="s">
        <v>69</v>
      </c>
      <c r="B70" s="15">
        <f>[1]SCF!C67</f>
        <v>15957249</v>
      </c>
      <c r="C70" s="15">
        <f>SUM(C71:C76)</f>
        <v>6223491.4300000006</v>
      </c>
      <c r="D70" s="15">
        <f t="shared" ref="D70:D82" si="21">+C70-B70</f>
        <v>-9733757.5700000003</v>
      </c>
      <c r="E70" s="16">
        <f t="shared" ref="E70:E82" si="22">+D70/B70*100</f>
        <v>-60.99897024856854</v>
      </c>
      <c r="F70" s="15">
        <f>[2]SCF!D67</f>
        <v>1110673.56</v>
      </c>
      <c r="G70" s="15">
        <f>[3]SCF!D67</f>
        <v>904608.81</v>
      </c>
      <c r="H70" s="15">
        <f>[4]SCF!D67</f>
        <v>983037.84</v>
      </c>
      <c r="I70" s="15">
        <f>[5]SCF!D67</f>
        <v>1213107.72</v>
      </c>
      <c r="J70" s="15">
        <f>[6]SCF!D67</f>
        <v>892517.7</v>
      </c>
      <c r="K70" s="15">
        <f>[1]SCF!D67</f>
        <v>1119545.8</v>
      </c>
    </row>
    <row r="71" spans="1:11" ht="15" customHeight="1" x14ac:dyDescent="0.3">
      <c r="A71" s="17" t="s">
        <v>20</v>
      </c>
      <c r="B71" s="18">
        <f>[1]SCF!C68</f>
        <v>15957249</v>
      </c>
      <c r="C71" s="18">
        <f t="shared" ref="C71:C81" si="23">SUM(F71:K71)</f>
        <v>4970964.5900000008</v>
      </c>
      <c r="D71" s="18">
        <f t="shared" si="21"/>
        <v>-10986284.41</v>
      </c>
      <c r="E71" s="19">
        <f t="shared" ref="E71:E81" si="24">IFERROR(+D71/B71*100,0)</f>
        <v>-68.848235745396963</v>
      </c>
      <c r="F71" s="18">
        <f>[2]SCF!D68</f>
        <v>888144.67</v>
      </c>
      <c r="G71" s="18">
        <f>[3]SCF!D68</f>
        <v>722996.68</v>
      </c>
      <c r="H71" s="18">
        <f>[4]SCF!D68</f>
        <v>786364.64</v>
      </c>
      <c r="I71" s="18">
        <f>[5]SCF!D68</f>
        <v>970403.6</v>
      </c>
      <c r="J71" s="18">
        <f>[6]SCF!D68</f>
        <v>707490.3</v>
      </c>
      <c r="K71" s="18">
        <f>[1]SCF!D68</f>
        <v>895564.7</v>
      </c>
    </row>
    <row r="72" spans="1:11" ht="15" customHeight="1" x14ac:dyDescent="0.3">
      <c r="A72" s="17" t="s">
        <v>21</v>
      </c>
      <c r="B72" s="18">
        <f>[1]SCF!C69</f>
        <v>0</v>
      </c>
      <c r="C72" s="18">
        <f t="shared" si="23"/>
        <v>47818.7</v>
      </c>
      <c r="D72" s="18">
        <f t="shared" si="21"/>
        <v>47818.7</v>
      </c>
      <c r="E72" s="19">
        <f t="shared" si="24"/>
        <v>0</v>
      </c>
      <c r="F72" s="18">
        <f>[2]SCF!D69</f>
        <v>8487.26</v>
      </c>
      <c r="G72" s="18">
        <f>[3]SCF!D69</f>
        <v>7161.56</v>
      </c>
      <c r="H72" s="18">
        <f>[4]SCF!D69</f>
        <v>7588.55</v>
      </c>
      <c r="I72" s="18">
        <f>[5]SCF!D69</f>
        <v>9275.0499999999993</v>
      </c>
      <c r="J72" s="18">
        <f>[6]SCF!D69</f>
        <v>6735.84</v>
      </c>
      <c r="K72" s="18">
        <f>[1]SCF!D69</f>
        <v>8570.44</v>
      </c>
    </row>
    <row r="73" spans="1:11" ht="15" customHeight="1" x14ac:dyDescent="0.3">
      <c r="A73" s="17" t="s">
        <v>22</v>
      </c>
      <c r="B73" s="18">
        <f>[1]SCF!C70</f>
        <v>0</v>
      </c>
      <c r="C73" s="18">
        <f t="shared" si="23"/>
        <v>167.25</v>
      </c>
      <c r="D73" s="18">
        <f t="shared" si="21"/>
        <v>167.25</v>
      </c>
      <c r="E73" s="19">
        <f t="shared" si="24"/>
        <v>0</v>
      </c>
      <c r="F73" s="18">
        <f>[2]SCF!D70</f>
        <v>21.25</v>
      </c>
      <c r="G73" s="18">
        <f>[3]SCF!D70</f>
        <v>9.1</v>
      </c>
      <c r="H73" s="18">
        <f>[4]SCF!D70</f>
        <v>6.84</v>
      </c>
      <c r="I73" s="18">
        <f>[5]SCF!D70</f>
        <v>2.4</v>
      </c>
      <c r="J73" s="18">
        <f>[6]SCF!D70</f>
        <v>126.2</v>
      </c>
      <c r="K73" s="18">
        <f>[1]SCF!D70</f>
        <v>1.46</v>
      </c>
    </row>
    <row r="74" spans="1:11" ht="15" customHeight="1" x14ac:dyDescent="0.3">
      <c r="A74" s="17" t="s">
        <v>70</v>
      </c>
      <c r="B74" s="18">
        <f>[1]SCF!C71</f>
        <v>0</v>
      </c>
      <c r="C74" s="18">
        <f t="shared" si="23"/>
        <v>10573.63</v>
      </c>
      <c r="D74" s="18">
        <f t="shared" si="21"/>
        <v>10573.63</v>
      </c>
      <c r="E74" s="19">
        <f t="shared" si="24"/>
        <v>0</v>
      </c>
      <c r="F74" s="18">
        <f>[2]SCF!D71</f>
        <v>77.77</v>
      </c>
      <c r="G74" s="18">
        <f>[3]SCF!D71</f>
        <v>561.88</v>
      </c>
      <c r="H74" s="18">
        <f>[4]SCF!D71</f>
        <v>172.8</v>
      </c>
      <c r="I74" s="18">
        <f>[5]SCF!D71</f>
        <v>78.45</v>
      </c>
      <c r="J74" s="18">
        <f>[6]SCF!D71</f>
        <v>9642.6299999999992</v>
      </c>
      <c r="K74" s="18">
        <f>[1]SCF!D71</f>
        <v>40.1</v>
      </c>
    </row>
    <row r="75" spans="1:11" ht="15" customHeight="1" x14ac:dyDescent="0.3">
      <c r="A75" s="17" t="s">
        <v>24</v>
      </c>
      <c r="B75" s="18">
        <f>[1]SCF!C72</f>
        <v>0</v>
      </c>
      <c r="C75" s="18">
        <f t="shared" si="23"/>
        <v>1193967.26</v>
      </c>
      <c r="D75" s="18">
        <f t="shared" si="21"/>
        <v>1193967.26</v>
      </c>
      <c r="E75" s="19">
        <f t="shared" si="24"/>
        <v>0</v>
      </c>
      <c r="F75" s="18">
        <f>[2]SCF!D72</f>
        <v>213942.61</v>
      </c>
      <c r="G75" s="18">
        <f>[3]SCF!D72</f>
        <v>173879.59</v>
      </c>
      <c r="H75" s="18">
        <f>[4]SCF!D72</f>
        <v>188905.01</v>
      </c>
      <c r="I75" s="18">
        <f>[5]SCF!D72</f>
        <v>233348.22</v>
      </c>
      <c r="J75" s="18">
        <f>[6]SCF!D72</f>
        <v>168522.73</v>
      </c>
      <c r="K75" s="18">
        <f>[1]SCF!D72</f>
        <v>215369.1</v>
      </c>
    </row>
    <row r="76" spans="1:11" ht="15" customHeight="1" x14ac:dyDescent="0.3">
      <c r="A76" s="17" t="s">
        <v>25</v>
      </c>
      <c r="B76" s="18">
        <f>[1]SCF!C73</f>
        <v>0</v>
      </c>
      <c r="C76" s="18">
        <f t="shared" si="23"/>
        <v>0</v>
      </c>
      <c r="D76" s="18">
        <f t="shared" si="21"/>
        <v>0</v>
      </c>
      <c r="E76" s="19">
        <f t="shared" si="24"/>
        <v>0</v>
      </c>
      <c r="F76" s="18">
        <f>[2]SCF!D73</f>
        <v>0</v>
      </c>
      <c r="G76" s="18">
        <f>[3]SCF!D73</f>
        <v>0</v>
      </c>
      <c r="H76" s="18">
        <f>[4]SCF!D73</f>
        <v>0</v>
      </c>
      <c r="I76" s="18">
        <f>[5]SCF!D73</f>
        <v>0</v>
      </c>
      <c r="J76" s="18">
        <f>[6]SCF!D73</f>
        <v>0</v>
      </c>
      <c r="K76" s="18">
        <f>[1]SCF!D73</f>
        <v>0</v>
      </c>
    </row>
    <row r="77" spans="1:11" x14ac:dyDescent="0.3">
      <c r="A77" s="24" t="s">
        <v>71</v>
      </c>
      <c r="B77" s="18">
        <f>[1]SCF!C74</f>
        <v>0</v>
      </c>
      <c r="C77" s="18">
        <f t="shared" si="23"/>
        <v>242956.69</v>
      </c>
      <c r="D77" s="18">
        <f t="shared" ref="D77:D81" si="25">C77-B77</f>
        <v>242956.69</v>
      </c>
      <c r="E77" s="19">
        <f t="shared" si="24"/>
        <v>0</v>
      </c>
      <c r="F77" s="18">
        <f>[2]SCF!D74</f>
        <v>163307.07</v>
      </c>
      <c r="G77" s="18">
        <f>[3]SCF!D74</f>
        <v>39275.370000000003</v>
      </c>
      <c r="H77" s="18">
        <f>[4]SCF!D74</f>
        <v>18580.599999999999</v>
      </c>
      <c r="I77" s="18">
        <f>[5]SCF!D74</f>
        <v>7652.12</v>
      </c>
      <c r="J77" s="18">
        <f>[6]SCF!D74</f>
        <v>9206.92</v>
      </c>
      <c r="K77" s="18">
        <f>[1]SCF!D74</f>
        <v>4934.6099999999997</v>
      </c>
    </row>
    <row r="78" spans="1:11" x14ac:dyDescent="0.3">
      <c r="A78" s="24" t="s">
        <v>72</v>
      </c>
      <c r="B78" s="18">
        <f>[1]SCF!C75</f>
        <v>16397400</v>
      </c>
      <c r="C78" s="18">
        <f t="shared" si="23"/>
        <v>34794219.599999994</v>
      </c>
      <c r="D78" s="18">
        <f t="shared" si="25"/>
        <v>18396819.599999994</v>
      </c>
      <c r="E78" s="19">
        <f t="shared" si="24"/>
        <v>112.19351604522664</v>
      </c>
      <c r="F78" s="18">
        <f>[2]SCF!D75</f>
        <v>8825726.7699999996</v>
      </c>
      <c r="G78" s="18">
        <f>[3]SCF!D75</f>
        <v>8555830.1699999999</v>
      </c>
      <c r="H78" s="18">
        <f>[4]SCF!D75</f>
        <v>8139316.4299999997</v>
      </c>
      <c r="I78" s="18">
        <f>[5]SCF!D75</f>
        <v>9273346.2300000004</v>
      </c>
      <c r="J78" s="18">
        <f>[6]SCF!D75</f>
        <v>0</v>
      </c>
      <c r="K78" s="18">
        <f>[1]SCF!D75</f>
        <v>0</v>
      </c>
    </row>
    <row r="79" spans="1:11" ht="15" customHeight="1" x14ac:dyDescent="0.3">
      <c r="A79" s="24" t="s">
        <v>73</v>
      </c>
      <c r="B79" s="18">
        <f>[1]SCF!C76</f>
        <v>0</v>
      </c>
      <c r="C79" s="18">
        <f t="shared" si="23"/>
        <v>3062912.42</v>
      </c>
      <c r="D79" s="18">
        <f t="shared" si="25"/>
        <v>3062912.42</v>
      </c>
      <c r="E79" s="19">
        <f t="shared" si="24"/>
        <v>0</v>
      </c>
      <c r="F79" s="18">
        <f>[2]SCF!D76</f>
        <v>0</v>
      </c>
      <c r="G79" s="18">
        <f>[3]SCF!D76</f>
        <v>0</v>
      </c>
      <c r="H79" s="18">
        <f>[4]SCF!D76</f>
        <v>2422085.0699999998</v>
      </c>
      <c r="I79" s="18">
        <f>[5]SCF!D76</f>
        <v>0</v>
      </c>
      <c r="J79" s="18">
        <f>[6]SCF!D76</f>
        <v>0</v>
      </c>
      <c r="K79" s="18">
        <f>[1]SCF!D76</f>
        <v>640827.35</v>
      </c>
    </row>
    <row r="80" spans="1:11" x14ac:dyDescent="0.3">
      <c r="A80" s="24" t="s">
        <v>74</v>
      </c>
      <c r="B80" s="18">
        <f>[1]SCF!C77</f>
        <v>0</v>
      </c>
      <c r="C80" s="18">
        <f t="shared" si="23"/>
        <v>105000</v>
      </c>
      <c r="D80" s="18">
        <f t="shared" si="25"/>
        <v>105000</v>
      </c>
      <c r="E80" s="19">
        <f t="shared" si="24"/>
        <v>0</v>
      </c>
      <c r="F80" s="18">
        <f>[2]SCF!D77</f>
        <v>90000</v>
      </c>
      <c r="G80" s="18">
        <f>[3]SCF!D77</f>
        <v>0</v>
      </c>
      <c r="H80" s="18">
        <f>[4]SCF!D77</f>
        <v>0</v>
      </c>
      <c r="I80" s="18">
        <f>[5]SCF!D77</f>
        <v>0</v>
      </c>
      <c r="J80" s="18">
        <f>[6]SCF!D77</f>
        <v>15000</v>
      </c>
      <c r="K80" s="18">
        <f>[1]SCF!D77</f>
        <v>0</v>
      </c>
    </row>
    <row r="81" spans="1:11" x14ac:dyDescent="0.3">
      <c r="A81" s="24" t="s">
        <v>75</v>
      </c>
      <c r="B81" s="18">
        <f>[1]SCF!C78</f>
        <v>0</v>
      </c>
      <c r="C81" s="18">
        <f t="shared" si="23"/>
        <v>5306231.1100000003</v>
      </c>
      <c r="D81" s="18">
        <f t="shared" si="25"/>
        <v>5306231.1100000003</v>
      </c>
      <c r="E81" s="19">
        <f t="shared" si="24"/>
        <v>0</v>
      </c>
      <c r="F81" s="18">
        <f>[2]SCF!D78</f>
        <v>0</v>
      </c>
      <c r="G81" s="18">
        <f>[3]SCF!D78</f>
        <v>0</v>
      </c>
      <c r="H81" s="18">
        <f>[4]SCF!D78</f>
        <v>3150000</v>
      </c>
      <c r="I81" s="18">
        <f>[5]SCF!D78</f>
        <v>10000</v>
      </c>
      <c r="J81" s="18">
        <f>[6]SCF!D78</f>
        <v>2014327.11</v>
      </c>
      <c r="K81" s="18">
        <f>[1]SCF!D78</f>
        <v>131904</v>
      </c>
    </row>
    <row r="82" spans="1:11" ht="15" customHeight="1" x14ac:dyDescent="0.3">
      <c r="A82" s="30" t="s">
        <v>76</v>
      </c>
      <c r="B82" s="15">
        <f>+B70+B77+B78+B79+B80+B81</f>
        <v>32354649</v>
      </c>
      <c r="C82" s="31">
        <f>+C70+C77+C78+C79+C80+C81</f>
        <v>49734811.25</v>
      </c>
      <c r="D82" s="31">
        <f t="shared" si="21"/>
        <v>17380162.25</v>
      </c>
      <c r="E82" s="32">
        <f t="shared" si="22"/>
        <v>53.717665890920344</v>
      </c>
      <c r="F82" s="31">
        <f t="shared" ref="F82:K82" si="26">+F70+F77+F78+F79+F80+F81</f>
        <v>10189707.4</v>
      </c>
      <c r="G82" s="31">
        <f t="shared" si="26"/>
        <v>9499714.3499999996</v>
      </c>
      <c r="H82" s="31">
        <f t="shared" si="26"/>
        <v>14713019.939999999</v>
      </c>
      <c r="I82" s="31">
        <f t="shared" si="26"/>
        <v>10504106.07</v>
      </c>
      <c r="J82" s="31">
        <f t="shared" si="26"/>
        <v>2931051.73</v>
      </c>
      <c r="K82" s="31">
        <f t="shared" si="26"/>
        <v>1897211.7600000002</v>
      </c>
    </row>
    <row r="83" spans="1:11" ht="15" customHeight="1" x14ac:dyDescent="0.3">
      <c r="A83" s="10" t="s">
        <v>77</v>
      </c>
      <c r="B83" s="11" t="s">
        <v>15</v>
      </c>
      <c r="C83" s="12" t="s">
        <v>15</v>
      </c>
      <c r="D83" s="11" t="s">
        <v>15</v>
      </c>
      <c r="E83" s="13" t="s">
        <v>15</v>
      </c>
      <c r="F83" s="12" t="s">
        <v>15</v>
      </c>
      <c r="G83" s="12" t="s">
        <v>15</v>
      </c>
      <c r="H83" s="12"/>
      <c r="I83" s="12" t="s">
        <v>15</v>
      </c>
      <c r="J83" s="12" t="s">
        <v>15</v>
      </c>
      <c r="K83" s="12"/>
    </row>
    <row r="84" spans="1:11" ht="15" customHeight="1" x14ac:dyDescent="0.3">
      <c r="A84" s="24" t="s">
        <v>78</v>
      </c>
      <c r="B84" s="18">
        <f>[1]SCF!C81</f>
        <v>0</v>
      </c>
      <c r="C84" s="18">
        <f t="shared" ref="C84:C86" si="27">SUM(F84:K84)</f>
        <v>0</v>
      </c>
      <c r="D84" s="18">
        <f t="shared" ref="D84:D88" si="28">+C84-B84</f>
        <v>0</v>
      </c>
      <c r="E84" s="19">
        <f t="shared" ref="E84:E86" si="29">IFERROR(+D84/B84*100,0)</f>
        <v>0</v>
      </c>
      <c r="F84" s="18">
        <f>[2]SCF!D81</f>
        <v>0</v>
      </c>
      <c r="G84" s="18">
        <f>[3]SCF!D81</f>
        <v>0</v>
      </c>
      <c r="H84" s="18">
        <f>[4]SCF!D81</f>
        <v>0</v>
      </c>
      <c r="I84" s="18">
        <f>[5]SCF!D81</f>
        <v>0</v>
      </c>
      <c r="J84" s="18">
        <f>[6]SCF!D81</f>
        <v>0</v>
      </c>
      <c r="K84" s="18">
        <f>[1]SCF!D81</f>
        <v>0</v>
      </c>
    </row>
    <row r="85" spans="1:11" ht="15" customHeight="1" x14ac:dyDescent="0.3">
      <c r="A85" s="24" t="s">
        <v>79</v>
      </c>
      <c r="B85" s="18">
        <f>[1]SCF!C82</f>
        <v>39423481</v>
      </c>
      <c r="C85" s="18">
        <f t="shared" si="27"/>
        <v>7185179.5600000005</v>
      </c>
      <c r="D85" s="18">
        <f t="shared" si="28"/>
        <v>-32238301.439999998</v>
      </c>
      <c r="E85" s="19">
        <f t="shared" si="29"/>
        <v>-81.774365485381665</v>
      </c>
      <c r="F85" s="18">
        <f>[2]SCF!D82</f>
        <v>2250731.88</v>
      </c>
      <c r="G85" s="18">
        <f>[3]SCF!D82</f>
        <v>1400080.36</v>
      </c>
      <c r="H85" s="18">
        <f>[4]SCF!D82</f>
        <v>195864.65</v>
      </c>
      <c r="I85" s="18">
        <f>[5]SCF!D82</f>
        <v>0</v>
      </c>
      <c r="J85" s="18">
        <f>[6]SCF!D82</f>
        <v>519091.96</v>
      </c>
      <c r="K85" s="18">
        <f>[1]SCF!D82</f>
        <v>2819410.71</v>
      </c>
    </row>
    <row r="86" spans="1:11" ht="15" customHeight="1" x14ac:dyDescent="0.3">
      <c r="A86" s="24" t="s">
        <v>80</v>
      </c>
      <c r="B86" s="18">
        <f>[1]SCF!C83</f>
        <v>38342595</v>
      </c>
      <c r="C86" s="18">
        <f t="shared" si="27"/>
        <v>762004.29</v>
      </c>
      <c r="D86" s="18">
        <f t="shared" si="28"/>
        <v>-37580590.710000001</v>
      </c>
      <c r="E86" s="19">
        <f t="shared" si="29"/>
        <v>-98.012642884499598</v>
      </c>
      <c r="F86" s="18">
        <f>[2]SCF!D83</f>
        <v>35960.71</v>
      </c>
      <c r="G86" s="18">
        <f>[3]SCF!D83</f>
        <v>290642.14</v>
      </c>
      <c r="H86" s="18">
        <f>[4]SCF!D83</f>
        <v>169235.7</v>
      </c>
      <c r="I86" s="18">
        <f>[5]SCF!D83</f>
        <v>42722.879999999997</v>
      </c>
      <c r="J86" s="18">
        <f>[6]SCF!D83</f>
        <v>82653.570000000007</v>
      </c>
      <c r="K86" s="18">
        <f>[1]SCF!D83</f>
        <v>140789.29</v>
      </c>
    </row>
    <row r="87" spans="1:11" ht="15" customHeight="1" x14ac:dyDescent="0.3">
      <c r="A87" s="30" t="s">
        <v>81</v>
      </c>
      <c r="B87" s="33">
        <f>+B84+B85+B86</f>
        <v>77766076</v>
      </c>
      <c r="C87" s="31">
        <f>+C84+C85+C86</f>
        <v>7947183.8500000006</v>
      </c>
      <c r="D87" s="31">
        <f t="shared" si="28"/>
        <v>-69818892.150000006</v>
      </c>
      <c r="E87" s="32">
        <f>+D87/B87*100</f>
        <v>-89.780654677754356</v>
      </c>
      <c r="F87" s="31">
        <f t="shared" ref="F87:K87" si="30">+F84+F85+F86</f>
        <v>2286692.59</v>
      </c>
      <c r="G87" s="31">
        <f t="shared" si="30"/>
        <v>1690722.5</v>
      </c>
      <c r="H87" s="31">
        <f t="shared" si="30"/>
        <v>365100.35</v>
      </c>
      <c r="I87" s="31">
        <f t="shared" si="30"/>
        <v>42722.879999999997</v>
      </c>
      <c r="J87" s="31">
        <f t="shared" si="30"/>
        <v>601745.53</v>
      </c>
      <c r="K87" s="31">
        <f t="shared" si="30"/>
        <v>2960200</v>
      </c>
    </row>
    <row r="88" spans="1:11" ht="18" customHeight="1" x14ac:dyDescent="0.3">
      <c r="A88" s="25" t="s">
        <v>82</v>
      </c>
      <c r="B88" s="27">
        <f>+B45+B46+B68+B82+B87</f>
        <v>1153101156</v>
      </c>
      <c r="C88" s="27">
        <f>+C45+C46+C68+C82+C87</f>
        <v>517655002.78000003</v>
      </c>
      <c r="D88" s="27">
        <f t="shared" si="28"/>
        <v>-635446153.22000003</v>
      </c>
      <c r="E88" s="28">
        <f>+D88/B88*100</f>
        <v>-55.107580970979441</v>
      </c>
      <c r="F88" s="27">
        <f t="shared" ref="F88:K88" si="31">+F45+F46+F68+F82+F87</f>
        <v>90588735.700000003</v>
      </c>
      <c r="G88" s="27">
        <f t="shared" si="31"/>
        <v>84321221.349999994</v>
      </c>
      <c r="H88" s="27">
        <f t="shared" si="31"/>
        <v>86652834.689999983</v>
      </c>
      <c r="I88" s="27">
        <f t="shared" si="31"/>
        <v>74487323.25999999</v>
      </c>
      <c r="J88" s="27">
        <f t="shared" si="31"/>
        <v>87293322.650000006</v>
      </c>
      <c r="K88" s="27">
        <f t="shared" si="31"/>
        <v>94311565.13000001</v>
      </c>
    </row>
    <row r="89" spans="1:11" x14ac:dyDescent="0.3">
      <c r="A89" s="29" t="s">
        <v>15</v>
      </c>
      <c r="B89" s="3"/>
      <c r="C89" s="3"/>
      <c r="D89" s="3"/>
      <c r="E89" s="3"/>
    </row>
    <row r="90" spans="1:11" ht="15" customHeight="1" x14ac:dyDescent="0.3">
      <c r="A90" s="10" t="s">
        <v>83</v>
      </c>
      <c r="B90" s="11" t="s">
        <v>15</v>
      </c>
      <c r="C90" s="12" t="s">
        <v>15</v>
      </c>
      <c r="D90" s="11" t="s">
        <v>15</v>
      </c>
      <c r="E90" s="13" t="s">
        <v>15</v>
      </c>
      <c r="F90" s="12" t="s">
        <v>15</v>
      </c>
      <c r="G90" s="12" t="s">
        <v>15</v>
      </c>
      <c r="H90" s="12" t="s">
        <v>15</v>
      </c>
      <c r="I90" s="12" t="s">
        <v>15</v>
      </c>
      <c r="J90" s="12" t="s">
        <v>15</v>
      </c>
      <c r="K90" s="12" t="s">
        <v>15</v>
      </c>
    </row>
    <row r="91" spans="1:11" x14ac:dyDescent="0.3">
      <c r="A91" s="24" t="s">
        <v>84</v>
      </c>
      <c r="B91" s="18">
        <f>[1]SCF!C88</f>
        <v>35267170</v>
      </c>
      <c r="C91" s="18">
        <f t="shared" ref="C91:C97" si="32">SUM(F91:K91)</f>
        <v>29577693.349999998</v>
      </c>
      <c r="D91" s="18">
        <f t="shared" ref="D91:D98" si="33">+C91-B91</f>
        <v>-5689476.6500000022</v>
      </c>
      <c r="E91" s="19">
        <f>IFERROR(+D91/B91*100,0)</f>
        <v>-16.132501275265358</v>
      </c>
      <c r="F91" s="18">
        <f>[2]SCF!D88</f>
        <v>4861121.87</v>
      </c>
      <c r="G91" s="18">
        <f>[3]SCF!D88</f>
        <v>4271441.5999999996</v>
      </c>
      <c r="H91" s="18">
        <f>[4]SCF!D88</f>
        <v>4596536.08</v>
      </c>
      <c r="I91" s="18">
        <f>[5]SCF!D88</f>
        <v>4262207.34</v>
      </c>
      <c r="J91" s="18">
        <f>[6]SCF!D88</f>
        <v>5645707.7599999998</v>
      </c>
      <c r="K91" s="18">
        <f>[1]SCF!D88</f>
        <v>5940678.7000000002</v>
      </c>
    </row>
    <row r="92" spans="1:11" ht="15" customHeight="1" x14ac:dyDescent="0.3">
      <c r="A92" s="24" t="s">
        <v>85</v>
      </c>
      <c r="B92" s="18">
        <f>[1]SCF!C89</f>
        <v>0</v>
      </c>
      <c r="C92" s="18">
        <f t="shared" si="32"/>
        <v>0</v>
      </c>
      <c r="D92" s="18">
        <f t="shared" si="33"/>
        <v>0</v>
      </c>
      <c r="E92" s="19">
        <f t="shared" ref="E92:E97" si="34">IFERROR(+D92/B92*100,0)</f>
        <v>0</v>
      </c>
      <c r="F92" s="18">
        <f>[2]SCF!D89</f>
        <v>0</v>
      </c>
      <c r="G92" s="18">
        <f>[3]SCF!D89</f>
        <v>0</v>
      </c>
      <c r="H92" s="18">
        <f>[4]SCF!D89</f>
        <v>0</v>
      </c>
      <c r="I92" s="18">
        <f>[5]SCF!D89</f>
        <v>0</v>
      </c>
      <c r="J92" s="18">
        <f>[6]SCF!D89</f>
        <v>0</v>
      </c>
      <c r="K92" s="18">
        <f>[1]SCF!D89</f>
        <v>0</v>
      </c>
    </row>
    <row r="93" spans="1:11" ht="15" customHeight="1" x14ac:dyDescent="0.3">
      <c r="A93" s="24" t="s">
        <v>86</v>
      </c>
      <c r="B93" s="18">
        <f>[1]SCF!C90</f>
        <v>14475985</v>
      </c>
      <c r="C93" s="18">
        <f t="shared" si="32"/>
        <v>5268168.4700000007</v>
      </c>
      <c r="D93" s="18">
        <f t="shared" si="33"/>
        <v>-9207816.5299999993</v>
      </c>
      <c r="E93" s="19">
        <f t="shared" si="34"/>
        <v>-63.607530195699979</v>
      </c>
      <c r="F93" s="18">
        <f>[2]SCF!D90</f>
        <v>683291.68</v>
      </c>
      <c r="G93" s="18">
        <f>[3]SCF!D90</f>
        <v>903502</v>
      </c>
      <c r="H93" s="18">
        <f>[4]SCF!D90</f>
        <v>915311.79</v>
      </c>
      <c r="I93" s="18">
        <f>[5]SCF!D90</f>
        <v>922021</v>
      </c>
      <c r="J93" s="18">
        <f>[6]SCF!D90</f>
        <v>922021</v>
      </c>
      <c r="K93" s="18">
        <f>[1]SCF!D90</f>
        <v>922021</v>
      </c>
    </row>
    <row r="94" spans="1:11" ht="15" customHeight="1" x14ac:dyDescent="0.3">
      <c r="A94" s="24" t="s">
        <v>87</v>
      </c>
      <c r="B94" s="18">
        <f>[1]SCF!C91</f>
        <v>0</v>
      </c>
      <c r="C94" s="18">
        <f t="shared" si="32"/>
        <v>0</v>
      </c>
      <c r="D94" s="18">
        <f t="shared" si="33"/>
        <v>0</v>
      </c>
      <c r="E94" s="19">
        <f t="shared" si="34"/>
        <v>0</v>
      </c>
      <c r="F94" s="18">
        <f>[2]SCF!D91</f>
        <v>0</v>
      </c>
      <c r="G94" s="18">
        <f>[3]SCF!D91</f>
        <v>0</v>
      </c>
      <c r="H94" s="18">
        <f>[4]SCF!D91</f>
        <v>0</v>
      </c>
      <c r="I94" s="18">
        <f>[5]SCF!D91</f>
        <v>0</v>
      </c>
      <c r="J94" s="18">
        <f>[6]SCF!D91</f>
        <v>0</v>
      </c>
      <c r="K94" s="18">
        <f>[1]SCF!D91</f>
        <v>0</v>
      </c>
    </row>
    <row r="95" spans="1:11" ht="15" customHeight="1" x14ac:dyDescent="0.3">
      <c r="A95" s="24" t="s">
        <v>88</v>
      </c>
      <c r="B95" s="18">
        <f>[1]SCF!C92</f>
        <v>0</v>
      </c>
      <c r="C95" s="18">
        <f t="shared" si="32"/>
        <v>0</v>
      </c>
      <c r="D95" s="18">
        <f t="shared" si="33"/>
        <v>0</v>
      </c>
      <c r="E95" s="19">
        <f t="shared" si="34"/>
        <v>0</v>
      </c>
      <c r="F95" s="18">
        <f>[2]SCF!D92</f>
        <v>0</v>
      </c>
      <c r="G95" s="18">
        <f>[3]SCF!D92</f>
        <v>0</v>
      </c>
      <c r="H95" s="18">
        <f>[4]SCF!D92</f>
        <v>0</v>
      </c>
      <c r="I95" s="18">
        <f>[5]SCF!D92</f>
        <v>0</v>
      </c>
      <c r="J95" s="18">
        <f>[6]SCF!D92</f>
        <v>0</v>
      </c>
      <c r="K95" s="18">
        <f>[1]SCF!D92</f>
        <v>0</v>
      </c>
    </row>
    <row r="96" spans="1:11" ht="15" customHeight="1" x14ac:dyDescent="0.3">
      <c r="A96" s="24" t="s">
        <v>89</v>
      </c>
      <c r="B96" s="18">
        <f>[1]SCF!C93</f>
        <v>0</v>
      </c>
      <c r="C96" s="18">
        <f t="shared" si="32"/>
        <v>0</v>
      </c>
      <c r="D96" s="18">
        <f t="shared" si="33"/>
        <v>0</v>
      </c>
      <c r="E96" s="19">
        <f t="shared" si="34"/>
        <v>0</v>
      </c>
      <c r="F96" s="18">
        <f>[2]SCF!D93</f>
        <v>0</v>
      </c>
      <c r="G96" s="18">
        <f>[3]SCF!D93</f>
        <v>0</v>
      </c>
      <c r="H96" s="18">
        <f>[4]SCF!D93</f>
        <v>0</v>
      </c>
      <c r="I96" s="18">
        <f>[5]SCF!D93</f>
        <v>0</v>
      </c>
      <c r="J96" s="18">
        <f>[6]SCF!D93</f>
        <v>0</v>
      </c>
      <c r="K96" s="18">
        <f>[1]SCF!D93</f>
        <v>0</v>
      </c>
    </row>
    <row r="97" spans="1:11" x14ac:dyDescent="0.3">
      <c r="A97" s="24" t="s">
        <v>90</v>
      </c>
      <c r="B97" s="18">
        <f>[1]SCF!C94</f>
        <v>0</v>
      </c>
      <c r="C97" s="18">
        <f t="shared" si="32"/>
        <v>0</v>
      </c>
      <c r="D97" s="18">
        <f t="shared" si="33"/>
        <v>0</v>
      </c>
      <c r="E97" s="19">
        <f t="shared" si="34"/>
        <v>0</v>
      </c>
      <c r="F97" s="18">
        <f>[2]SCF!D94</f>
        <v>0</v>
      </c>
      <c r="G97" s="18">
        <f>[3]SCF!D94</f>
        <v>0</v>
      </c>
      <c r="H97" s="18">
        <f>[4]SCF!D94</f>
        <v>0</v>
      </c>
      <c r="I97" s="18">
        <f>[5]SCF!D94</f>
        <v>0</v>
      </c>
      <c r="J97" s="18">
        <f>[6]SCF!D94</f>
        <v>0</v>
      </c>
      <c r="K97" s="18">
        <f>[1]SCF!D94</f>
        <v>0</v>
      </c>
    </row>
    <row r="98" spans="1:11" ht="15" customHeight="1" x14ac:dyDescent="0.3">
      <c r="A98" s="30" t="s">
        <v>91</v>
      </c>
      <c r="B98" s="33">
        <f>SUM(B91:B97)</f>
        <v>49743155</v>
      </c>
      <c r="C98" s="31">
        <f>SUM(C91:C97)</f>
        <v>34845861.82</v>
      </c>
      <c r="D98" s="31">
        <f t="shared" si="33"/>
        <v>-14897293.18</v>
      </c>
      <c r="E98" s="32">
        <f t="shared" ref="E98" si="35">+D98/B98*100</f>
        <v>-29.948428442064039</v>
      </c>
      <c r="F98" s="31">
        <f>[2]SCF!D95</f>
        <v>5544413.5499999998</v>
      </c>
      <c r="G98" s="31">
        <f t="shared" ref="G98:K98" si="36">SUM(G91:G97)</f>
        <v>5174943.5999999996</v>
      </c>
      <c r="H98" s="31">
        <f t="shared" si="36"/>
        <v>5511847.8700000001</v>
      </c>
      <c r="I98" s="31">
        <f t="shared" si="36"/>
        <v>5184228.34</v>
      </c>
      <c r="J98" s="31">
        <f t="shared" si="36"/>
        <v>6567728.7599999998</v>
      </c>
      <c r="K98" s="31">
        <f t="shared" si="36"/>
        <v>6862699.7000000002</v>
      </c>
    </row>
    <row r="99" spans="1:11" ht="15" customHeight="1" x14ac:dyDescent="0.3">
      <c r="A99" s="34" t="s">
        <v>92</v>
      </c>
      <c r="B99" s="35">
        <f>+B42-B88-B98</f>
        <v>8024277</v>
      </c>
      <c r="C99" s="36">
        <f>+C42-C88-C98</f>
        <v>51886644.240000002</v>
      </c>
      <c r="D99" s="37" t="s">
        <v>15</v>
      </c>
      <c r="E99" s="38" t="s">
        <v>15</v>
      </c>
      <c r="F99" s="36">
        <f t="shared" ref="F99:K99" si="37">+F42-F88-F98</f>
        <v>1712867.5299999984</v>
      </c>
      <c r="G99" s="36">
        <f t="shared" si="37"/>
        <v>-3411720.4099999871</v>
      </c>
      <c r="H99" s="36">
        <f t="shared" si="37"/>
        <v>14142694.600000013</v>
      </c>
      <c r="I99" s="36">
        <f t="shared" si="37"/>
        <v>6113128.7400000133</v>
      </c>
      <c r="J99" s="36">
        <f t="shared" si="37"/>
        <v>27834587.740000002</v>
      </c>
      <c r="K99" s="36">
        <f t="shared" si="37"/>
        <v>5495086.0399999944</v>
      </c>
    </row>
    <row r="100" spans="1:11" ht="15" customHeight="1" x14ac:dyDescent="0.3">
      <c r="A100" s="39" t="s">
        <v>93</v>
      </c>
      <c r="B100" s="18">
        <f>[1]SCF!$C$97</f>
        <v>155208653</v>
      </c>
      <c r="C100" s="18">
        <f>F100</f>
        <v>114815387.08</v>
      </c>
      <c r="D100" s="40" t="s">
        <v>15</v>
      </c>
      <c r="E100" s="41" t="s">
        <v>15</v>
      </c>
      <c r="F100" s="18">
        <f>[2]SCF!$D$97</f>
        <v>114815387.08</v>
      </c>
      <c r="G100" s="18">
        <f>F101</f>
        <v>116528254.61</v>
      </c>
      <c r="H100" s="18">
        <f>G101</f>
        <v>113116534.20000002</v>
      </c>
      <c r="I100" s="18">
        <f>H101</f>
        <v>127259228.80000003</v>
      </c>
      <c r="J100" s="18">
        <f t="shared" ref="J100:K100" si="38">I101</f>
        <v>133372357.54000004</v>
      </c>
      <c r="K100" s="18">
        <f t="shared" si="38"/>
        <v>161206945.28000003</v>
      </c>
    </row>
    <row r="101" spans="1:11" ht="15" customHeight="1" x14ac:dyDescent="0.3">
      <c r="A101" s="34" t="s">
        <v>94</v>
      </c>
      <c r="B101" s="35">
        <f>B99+B100</f>
        <v>163232930</v>
      </c>
      <c r="C101" s="36">
        <f>C99+C100</f>
        <v>166702031.31999999</v>
      </c>
      <c r="D101" s="42" t="s">
        <v>15</v>
      </c>
      <c r="E101" s="43" t="s">
        <v>15</v>
      </c>
      <c r="F101" s="36">
        <f t="shared" ref="F101:K101" si="39">F99+F100</f>
        <v>116528254.61</v>
      </c>
      <c r="G101" s="36">
        <f t="shared" si="39"/>
        <v>113116534.20000002</v>
      </c>
      <c r="H101" s="36">
        <f t="shared" si="39"/>
        <v>127259228.80000003</v>
      </c>
      <c r="I101" s="36">
        <f t="shared" si="39"/>
        <v>133372357.54000004</v>
      </c>
      <c r="J101" s="36">
        <f t="shared" si="39"/>
        <v>161206945.28000003</v>
      </c>
      <c r="K101" s="36">
        <f t="shared" si="39"/>
        <v>166702031.32000002</v>
      </c>
    </row>
    <row r="102" spans="1:11" x14ac:dyDescent="0.3">
      <c r="F102" s="44">
        <f>[2]SCF!$D$98</f>
        <v>116528254.61</v>
      </c>
      <c r="G102" s="44">
        <f>[3]SCF!$D$98</f>
        <v>113116534.2</v>
      </c>
      <c r="H102" s="44">
        <f>[4]SCF!$D$98</f>
        <v>127259228.8</v>
      </c>
      <c r="I102" s="44">
        <f>[5]SCF!$D$98</f>
        <v>133372357.54000001</v>
      </c>
      <c r="J102" s="44">
        <f>[6]SCF!$D$98</f>
        <v>161206945.28</v>
      </c>
      <c r="K102" s="44">
        <f>[1]SCF!$D$98</f>
        <v>166702031.31999999</v>
      </c>
    </row>
    <row r="103" spans="1:11" x14ac:dyDescent="0.3">
      <c r="F103" s="44">
        <f t="shared" ref="F103:K103" si="40">+F101-F102</f>
        <v>0</v>
      </c>
      <c r="G103" s="44">
        <f t="shared" si="40"/>
        <v>0</v>
      </c>
      <c r="H103" s="44">
        <f t="shared" si="40"/>
        <v>0</v>
      </c>
      <c r="I103" s="44">
        <f t="shared" si="40"/>
        <v>0</v>
      </c>
      <c r="J103" s="44">
        <f t="shared" si="40"/>
        <v>0</v>
      </c>
      <c r="K103" s="44">
        <f t="shared" si="40"/>
        <v>0</v>
      </c>
    </row>
  </sheetData>
  <mergeCells count="7">
    <mergeCell ref="A89:E89"/>
    <mergeCell ref="A2:A11"/>
    <mergeCell ref="B2:D2"/>
    <mergeCell ref="E4:G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SAJELCO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+[35]SCF!$C$2</f>
        <v>SAJELCO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14</v>
      </c>
      <c r="B15" s="11" t="s">
        <v>15</v>
      </c>
      <c r="C15" s="12" t="s">
        <v>15</v>
      </c>
      <c r="D15" s="11" t="s">
        <v>15</v>
      </c>
      <c r="E15" s="13" t="s">
        <v>15</v>
      </c>
    </row>
    <row r="16" spans="1:5" ht="15" customHeight="1" x14ac:dyDescent="0.3">
      <c r="A16" s="14" t="s">
        <v>16</v>
      </c>
      <c r="B16" s="15">
        <f>[35]SCF!C12</f>
        <v>997832850.37</v>
      </c>
      <c r="C16" s="15">
        <v>852510682.0400002</v>
      </c>
      <c r="D16" s="15">
        <f>+C16-B16</f>
        <v>-145322168.3299998</v>
      </c>
      <c r="E16" s="16">
        <f t="shared" ref="E16:E42" si="0">+D16/B16*100</f>
        <v>-14.563778720665873</v>
      </c>
    </row>
    <row r="17" spans="1:5" ht="15" customHeight="1" x14ac:dyDescent="0.3">
      <c r="A17" s="17" t="s">
        <v>17</v>
      </c>
      <c r="B17" s="18">
        <f>[35]SCF!C13</f>
        <v>831215517.96000004</v>
      </c>
      <c r="C17" s="18">
        <v>740602001.32000005</v>
      </c>
      <c r="D17" s="18">
        <f t="shared" ref="D17:D42" si="1">+C17-B17</f>
        <v>-90613516.639999986</v>
      </c>
      <c r="E17" s="19">
        <f t="shared" ref="E17:E18" si="2">IFERROR(+D17/B17*100,0)</f>
        <v>-10.901326392749144</v>
      </c>
    </row>
    <row r="18" spans="1:5" ht="15" customHeight="1" x14ac:dyDescent="0.3">
      <c r="A18" s="17" t="s">
        <v>18</v>
      </c>
      <c r="B18" s="18">
        <f>[35]SCF!C14</f>
        <v>24767127</v>
      </c>
      <c r="C18" s="18">
        <v>11275435.49</v>
      </c>
      <c r="D18" s="18">
        <f t="shared" si="1"/>
        <v>-13491691.51</v>
      </c>
      <c r="E18" s="19">
        <f t="shared" si="2"/>
        <v>-54.474188750273697</v>
      </c>
    </row>
    <row r="19" spans="1:5" ht="15" customHeight="1" x14ac:dyDescent="0.3">
      <c r="A19" s="20" t="s">
        <v>19</v>
      </c>
      <c r="B19" s="15">
        <f>[35]SCF!C15</f>
        <v>31794714</v>
      </c>
      <c r="C19" s="21">
        <v>11870178.469999999</v>
      </c>
      <c r="D19" s="21">
        <f t="shared" si="1"/>
        <v>-19924535.530000001</v>
      </c>
      <c r="E19" s="22">
        <f t="shared" si="0"/>
        <v>-62.666188882843862</v>
      </c>
    </row>
    <row r="20" spans="1:5" ht="15" customHeight="1" x14ac:dyDescent="0.3">
      <c r="A20" s="23" t="s">
        <v>20</v>
      </c>
      <c r="B20" s="18">
        <f>[35]SCF!C16</f>
        <v>20275384.5</v>
      </c>
      <c r="C20" s="18">
        <v>9565926.6899999995</v>
      </c>
      <c r="D20" s="18">
        <f t="shared" si="1"/>
        <v>-10709457.810000001</v>
      </c>
      <c r="E20" s="19">
        <f t="shared" ref="E20:E28" si="3">IFERROR(+D20/B20*100,0)</f>
        <v>-52.81999860471204</v>
      </c>
    </row>
    <row r="21" spans="1:5" ht="15" customHeight="1" x14ac:dyDescent="0.3">
      <c r="A21" s="23" t="s">
        <v>21</v>
      </c>
      <c r="B21" s="18">
        <f>[35]SCF!C17</f>
        <v>193315.5</v>
      </c>
      <c r="C21" s="18">
        <v>87982.24</v>
      </c>
      <c r="D21" s="18">
        <f t="shared" si="1"/>
        <v>-105333.26</v>
      </c>
      <c r="E21" s="19">
        <f t="shared" si="3"/>
        <v>-54.487746714567628</v>
      </c>
    </row>
    <row r="22" spans="1:5" ht="15" customHeight="1" x14ac:dyDescent="0.3">
      <c r="A22" s="23" t="s">
        <v>22</v>
      </c>
      <c r="B22" s="18">
        <f>[35]SCF!C18</f>
        <v>284287.5</v>
      </c>
      <c r="C22" s="18">
        <v>55.57</v>
      </c>
      <c r="D22" s="18">
        <f t="shared" si="1"/>
        <v>-284231.93</v>
      </c>
      <c r="E22" s="19">
        <f t="shared" si="3"/>
        <v>-99.980452886602464</v>
      </c>
    </row>
    <row r="23" spans="1:5" ht="15" customHeight="1" x14ac:dyDescent="0.3">
      <c r="A23" s="23" t="s">
        <v>23</v>
      </c>
      <c r="B23" s="18">
        <f>[35]SCF!C19</f>
        <v>4867002</v>
      </c>
      <c r="C23" s="18">
        <v>1164.1799999999998</v>
      </c>
      <c r="D23" s="18">
        <f t="shared" si="1"/>
        <v>-4865837.82</v>
      </c>
      <c r="E23" s="19">
        <f t="shared" si="3"/>
        <v>-99.976080141327245</v>
      </c>
    </row>
    <row r="24" spans="1:5" ht="15" customHeight="1" x14ac:dyDescent="0.3">
      <c r="A24" s="23" t="s">
        <v>24</v>
      </c>
      <c r="B24" s="18">
        <f>[35]SCF!C20</f>
        <v>6174724.5</v>
      </c>
      <c r="C24" s="18">
        <v>2215049.79</v>
      </c>
      <c r="D24" s="18">
        <f t="shared" si="1"/>
        <v>-3959674.71</v>
      </c>
      <c r="E24" s="19">
        <f t="shared" si="3"/>
        <v>-64.127147858985438</v>
      </c>
    </row>
    <row r="25" spans="1:5" ht="15" customHeight="1" x14ac:dyDescent="0.3">
      <c r="A25" s="23" t="s">
        <v>25</v>
      </c>
      <c r="B25" s="18">
        <f>[35]SCF!C21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26</v>
      </c>
      <c r="B26" s="18">
        <f>[35]SCF!C22</f>
        <v>11178184.5</v>
      </c>
      <c r="C26" s="18">
        <v>106337.08</v>
      </c>
      <c r="D26" s="18">
        <f t="shared" si="1"/>
        <v>-11071847.42</v>
      </c>
      <c r="E26" s="19">
        <f t="shared" si="3"/>
        <v>-99.048708848919063</v>
      </c>
    </row>
    <row r="27" spans="1:5" ht="15" customHeight="1" x14ac:dyDescent="0.3">
      <c r="A27" s="17" t="s">
        <v>27</v>
      </c>
      <c r="B27" s="18">
        <f>[35]SCF!C23</f>
        <v>98877306.909999996</v>
      </c>
      <c r="C27" s="18">
        <v>88656729.680000007</v>
      </c>
      <c r="D27" s="18">
        <f t="shared" si="1"/>
        <v>-10220577.229999989</v>
      </c>
      <c r="E27" s="19">
        <f t="shared" si="3"/>
        <v>-10.336625813750118</v>
      </c>
    </row>
    <row r="28" spans="1:5" ht="15" customHeight="1" x14ac:dyDescent="0.3">
      <c r="A28" s="17" t="s">
        <v>28</v>
      </c>
      <c r="B28" s="18">
        <f>[35]SCF!C24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29</v>
      </c>
      <c r="B29" s="15">
        <f>[35]SCF!C25</f>
        <v>29365000</v>
      </c>
      <c r="C29" s="15">
        <v>19423222.210000001</v>
      </c>
      <c r="D29" s="15">
        <f t="shared" si="1"/>
        <v>-9941777.7899999991</v>
      </c>
      <c r="E29" s="16">
        <f t="shared" si="0"/>
        <v>-33.855875327771152</v>
      </c>
    </row>
    <row r="30" spans="1:5" ht="15" customHeight="1" x14ac:dyDescent="0.3">
      <c r="A30" s="17" t="s">
        <v>30</v>
      </c>
      <c r="B30" s="18">
        <f>[35]SCF!C26</f>
        <v>8365000</v>
      </c>
      <c r="C30" s="18">
        <v>4765875.4499999993</v>
      </c>
      <c r="D30" s="18">
        <f t="shared" si="1"/>
        <v>-3599124.5500000007</v>
      </c>
      <c r="E30" s="19">
        <f t="shared" ref="E30:E32" si="4">IFERROR(+D30/B30*100,0)</f>
        <v>-43.025995815899591</v>
      </c>
    </row>
    <row r="31" spans="1:5" ht="15" customHeight="1" x14ac:dyDescent="0.3">
      <c r="A31" s="17" t="s">
        <v>31</v>
      </c>
      <c r="B31" s="18">
        <f>[35]SCF!C27</f>
        <v>21000000</v>
      </c>
      <c r="C31" s="18">
        <v>14657346.76</v>
      </c>
      <c r="D31" s="18">
        <f t="shared" si="1"/>
        <v>-6342653.2400000002</v>
      </c>
      <c r="E31" s="19">
        <f t="shared" si="4"/>
        <v>-30.203110666666667</v>
      </c>
    </row>
    <row r="32" spans="1:5" x14ac:dyDescent="0.3">
      <c r="A32" s="17" t="s">
        <v>32</v>
      </c>
      <c r="B32" s="18">
        <f>[35]SCF!C28</f>
        <v>0</v>
      </c>
      <c r="C32" s="18">
        <v>0</v>
      </c>
      <c r="D32" s="18">
        <f t="shared" si="1"/>
        <v>0</v>
      </c>
      <c r="E32" s="19">
        <f t="shared" si="4"/>
        <v>0</v>
      </c>
    </row>
    <row r="33" spans="1:5" x14ac:dyDescent="0.3">
      <c r="A33" s="14" t="s">
        <v>33</v>
      </c>
      <c r="B33" s="15">
        <f>[35]SCF!C29</f>
        <v>0</v>
      </c>
      <c r="C33" s="15">
        <v>0</v>
      </c>
      <c r="D33" s="15">
        <f t="shared" si="1"/>
        <v>0</v>
      </c>
      <c r="E33" s="16" t="e">
        <f t="shared" si="0"/>
        <v>#DIV/0!</v>
      </c>
    </row>
    <row r="34" spans="1:5" ht="15" customHeight="1" x14ac:dyDescent="0.3">
      <c r="A34" s="17" t="s">
        <v>34</v>
      </c>
      <c r="B34" s="18">
        <f>[35]SCF!C30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35</v>
      </c>
      <c r="B35" s="18">
        <f>[35]SCF!C31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36</v>
      </c>
      <c r="B36" s="18">
        <f>[35]SCF!C32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37</v>
      </c>
      <c r="B37" s="18">
        <f>[35]SCF!C33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38</v>
      </c>
      <c r="B38" s="18">
        <f>[35]SCF!C34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39</v>
      </c>
      <c r="B39" s="18">
        <f>[35]SCF!C35</f>
        <v>1500000</v>
      </c>
      <c r="C39" s="18">
        <v>632450</v>
      </c>
      <c r="D39" s="18">
        <f t="shared" si="1"/>
        <v>-867550</v>
      </c>
      <c r="E39" s="19">
        <f t="shared" si="5"/>
        <v>-57.836666666666673</v>
      </c>
    </row>
    <row r="40" spans="1:5" ht="15" customHeight="1" x14ac:dyDescent="0.3">
      <c r="A40" s="24" t="s">
        <v>40</v>
      </c>
      <c r="B40" s="18">
        <f>[35]SCF!C36</f>
        <v>32431749</v>
      </c>
      <c r="C40" s="18">
        <v>0</v>
      </c>
      <c r="D40" s="18">
        <f t="shared" si="1"/>
        <v>-32431749</v>
      </c>
      <c r="E40" s="19">
        <f t="shared" si="5"/>
        <v>-100</v>
      </c>
    </row>
    <row r="41" spans="1:5" ht="15" customHeight="1" x14ac:dyDescent="0.3">
      <c r="A41" s="24" t="s">
        <v>41</v>
      </c>
      <c r="B41" s="18">
        <f>[35]SCF!C37</f>
        <v>5000000</v>
      </c>
      <c r="C41" s="18">
        <v>1917085.6099999999</v>
      </c>
      <c r="D41" s="18">
        <f t="shared" si="1"/>
        <v>-3082914.39</v>
      </c>
      <c r="E41" s="19">
        <f t="shared" si="5"/>
        <v>-61.658287799999997</v>
      </c>
    </row>
    <row r="42" spans="1:5" ht="15" customHeight="1" x14ac:dyDescent="0.3">
      <c r="A42" s="25" t="s">
        <v>42</v>
      </c>
      <c r="B42" s="26">
        <f>[35]SCF!C38</f>
        <v>1066129599.37</v>
      </c>
      <c r="C42" s="27">
        <v>874483439.86000025</v>
      </c>
      <c r="D42" s="27">
        <f t="shared" si="1"/>
        <v>-191646159.50999975</v>
      </c>
      <c r="E42" s="28">
        <f t="shared" si="0"/>
        <v>-17.975878319413304</v>
      </c>
    </row>
    <row r="43" spans="1:5" ht="18" customHeight="1" x14ac:dyDescent="0.3">
      <c r="A43" s="29" t="s">
        <v>15</v>
      </c>
      <c r="B43" s="3"/>
      <c r="C43" s="3"/>
      <c r="D43" s="3"/>
      <c r="E43" s="3"/>
    </row>
    <row r="44" spans="1:5" ht="15" customHeight="1" x14ac:dyDescent="0.3">
      <c r="A44" s="10" t="s">
        <v>43</v>
      </c>
      <c r="B44" s="11" t="s">
        <v>15</v>
      </c>
      <c r="C44" s="12" t="s">
        <v>15</v>
      </c>
      <c r="D44" s="11" t="s">
        <v>15</v>
      </c>
      <c r="E44" s="13" t="s">
        <v>15</v>
      </c>
    </row>
    <row r="45" spans="1:5" ht="15" customHeight="1" x14ac:dyDescent="0.3">
      <c r="A45" s="24" t="s">
        <v>44</v>
      </c>
      <c r="B45" s="18">
        <f>[35]SCF!C41</f>
        <v>836759721.52999997</v>
      </c>
      <c r="C45" s="18">
        <v>660287125.93999994</v>
      </c>
      <c r="D45" s="18">
        <f>C45-B45</f>
        <v>-176472595.59000003</v>
      </c>
      <c r="E45" s="19">
        <f>IFERROR(+D45/B45*100,0)</f>
        <v>-21.089996452903243</v>
      </c>
    </row>
    <row r="46" spans="1:5" ht="15" customHeight="1" x14ac:dyDescent="0.3">
      <c r="A46" s="14" t="s">
        <v>45</v>
      </c>
      <c r="B46" s="15">
        <f>[35]SCF!C42</f>
        <v>150154488.94</v>
      </c>
      <c r="C46" s="15">
        <v>56531327.190000013</v>
      </c>
      <c r="D46" s="15">
        <f t="shared" ref="D46:D61" si="6">+B46-C46</f>
        <v>93623161.749999985</v>
      </c>
      <c r="E46" s="16">
        <f t="shared" ref="E46" si="7">+D46/B46*100</f>
        <v>62.351224003306839</v>
      </c>
    </row>
    <row r="47" spans="1:5" ht="15" customHeight="1" x14ac:dyDescent="0.3">
      <c r="A47" s="17" t="s">
        <v>46</v>
      </c>
      <c r="B47" s="18">
        <f>[35]SCF!C43</f>
        <v>66601040.640000001</v>
      </c>
      <c r="C47" s="18">
        <v>29526870.52</v>
      </c>
      <c r="D47" s="18">
        <f t="shared" si="6"/>
        <v>37074170.120000005</v>
      </c>
      <c r="E47" s="19">
        <f t="shared" ref="E47:E61" si="8">IFERROR(+D47/B47*100,0)</f>
        <v>55.666052307497402</v>
      </c>
    </row>
    <row r="48" spans="1:5" ht="15" customHeight="1" x14ac:dyDescent="0.3">
      <c r="A48" s="17" t="s">
        <v>47</v>
      </c>
      <c r="B48" s="18">
        <f>[35]SCF!C44</f>
        <v>5671323.5999999996</v>
      </c>
      <c r="C48" s="18">
        <v>3031872.9600000004</v>
      </c>
      <c r="D48" s="18">
        <f t="shared" si="6"/>
        <v>2639450.6399999992</v>
      </c>
      <c r="E48" s="19">
        <f t="shared" si="8"/>
        <v>46.540293345278329</v>
      </c>
    </row>
    <row r="49" spans="1:5" ht="15" customHeight="1" x14ac:dyDescent="0.3">
      <c r="A49" s="17" t="s">
        <v>48</v>
      </c>
      <c r="B49" s="18">
        <f>[35]SCF!C45</f>
        <v>44826924.700000003</v>
      </c>
      <c r="C49" s="18">
        <v>11193835.189999999</v>
      </c>
      <c r="D49" s="18">
        <f t="shared" si="6"/>
        <v>33633089.510000005</v>
      </c>
      <c r="E49" s="19">
        <f t="shared" si="8"/>
        <v>75.028768391064759</v>
      </c>
    </row>
    <row r="50" spans="1:5" ht="15" customHeight="1" x14ac:dyDescent="0.3">
      <c r="A50" s="17" t="s">
        <v>49</v>
      </c>
      <c r="B50" s="18">
        <f>[35]SCF!C46</f>
        <v>3220000</v>
      </c>
      <c r="C50" s="18">
        <v>2203081.4899999998</v>
      </c>
      <c r="D50" s="18">
        <f t="shared" si="6"/>
        <v>1016918.5100000002</v>
      </c>
      <c r="E50" s="19">
        <f t="shared" si="8"/>
        <v>31.581320186335411</v>
      </c>
    </row>
    <row r="51" spans="1:5" ht="15" customHeight="1" x14ac:dyDescent="0.3">
      <c r="A51" s="17" t="s">
        <v>50</v>
      </c>
      <c r="B51" s="18">
        <f>[35]SCF!C47</f>
        <v>1850000</v>
      </c>
      <c r="C51" s="18">
        <v>148379.5</v>
      </c>
      <c r="D51" s="18">
        <f t="shared" si="6"/>
        <v>1701620.5</v>
      </c>
      <c r="E51" s="19">
        <f t="shared" si="8"/>
        <v>91.979486486486479</v>
      </c>
    </row>
    <row r="52" spans="1:5" x14ac:dyDescent="0.3">
      <c r="A52" s="17" t="s">
        <v>51</v>
      </c>
      <c r="B52" s="18">
        <f>[35]SCF!C48</f>
        <v>1050000</v>
      </c>
      <c r="C52" s="18">
        <v>1103006.1499999999</v>
      </c>
      <c r="D52" s="18">
        <f t="shared" si="6"/>
        <v>-53006.149999999907</v>
      </c>
      <c r="E52" s="19">
        <f t="shared" si="8"/>
        <v>-5.0482047619047528</v>
      </c>
    </row>
    <row r="53" spans="1:5" ht="15" customHeight="1" x14ac:dyDescent="0.3">
      <c r="A53" s="17" t="s">
        <v>52</v>
      </c>
      <c r="B53" s="18">
        <f>[35]SCF!C49</f>
        <v>2000000</v>
      </c>
      <c r="C53" s="18">
        <v>1250637.8899999999</v>
      </c>
      <c r="D53" s="18">
        <f t="shared" si="6"/>
        <v>749362.1100000001</v>
      </c>
      <c r="E53" s="19">
        <f t="shared" si="8"/>
        <v>37.468105500000007</v>
      </c>
    </row>
    <row r="54" spans="1:5" ht="15" customHeight="1" x14ac:dyDescent="0.3">
      <c r="A54" s="17" t="s">
        <v>53</v>
      </c>
      <c r="B54" s="18">
        <f>[35]SCF!C50</f>
        <v>3910000</v>
      </c>
      <c r="C54" s="18">
        <v>725741.27</v>
      </c>
      <c r="D54" s="18">
        <f t="shared" si="6"/>
        <v>3184258.73</v>
      </c>
      <c r="E54" s="19">
        <f t="shared" si="8"/>
        <v>81.438842199488491</v>
      </c>
    </row>
    <row r="55" spans="1:5" ht="15" customHeight="1" x14ac:dyDescent="0.3">
      <c r="A55" s="17" t="s">
        <v>54</v>
      </c>
      <c r="B55" s="18">
        <f>[35]SCF!C51</f>
        <v>2906400</v>
      </c>
      <c r="C55" s="18">
        <v>1435700</v>
      </c>
      <c r="D55" s="18">
        <f t="shared" si="6"/>
        <v>1470700</v>
      </c>
      <c r="E55" s="19">
        <f t="shared" si="8"/>
        <v>50.602119460500958</v>
      </c>
    </row>
    <row r="56" spans="1:5" ht="15" customHeight="1" x14ac:dyDescent="0.3">
      <c r="A56" s="17" t="s">
        <v>55</v>
      </c>
      <c r="B56" s="18">
        <f>[35]SCF!C52</f>
        <v>3228800</v>
      </c>
      <c r="C56" s="18">
        <v>1178615.3500000001</v>
      </c>
      <c r="D56" s="18">
        <f t="shared" si="6"/>
        <v>2050184.65</v>
      </c>
      <c r="E56" s="19">
        <f t="shared" si="8"/>
        <v>63.496799120416249</v>
      </c>
    </row>
    <row r="57" spans="1:5" ht="15" customHeight="1" x14ac:dyDescent="0.3">
      <c r="A57" s="17" t="s">
        <v>56</v>
      </c>
      <c r="B57" s="18">
        <f>[35]SCF!C53</f>
        <v>2900000</v>
      </c>
      <c r="C57" s="18">
        <v>1263997.0900000001</v>
      </c>
      <c r="D57" s="18">
        <f t="shared" si="6"/>
        <v>1636002.91</v>
      </c>
      <c r="E57" s="19">
        <f t="shared" si="8"/>
        <v>56.413893448275864</v>
      </c>
    </row>
    <row r="58" spans="1:5" ht="15" customHeight="1" x14ac:dyDescent="0.3">
      <c r="A58" s="17" t="s">
        <v>57</v>
      </c>
      <c r="B58" s="18">
        <f>[35]SCF!C54</f>
        <v>1100000</v>
      </c>
      <c r="C58" s="18">
        <v>1568754.72</v>
      </c>
      <c r="D58" s="18">
        <f t="shared" si="6"/>
        <v>-468754.72</v>
      </c>
      <c r="E58" s="19">
        <f t="shared" si="8"/>
        <v>-42.614065454545454</v>
      </c>
    </row>
    <row r="59" spans="1:5" ht="15" customHeight="1" x14ac:dyDescent="0.3">
      <c r="A59" s="17" t="s">
        <v>58</v>
      </c>
      <c r="B59" s="18">
        <f>[35]SCF!C55</f>
        <v>8090000</v>
      </c>
      <c r="C59" s="18">
        <v>903408.7</v>
      </c>
      <c r="D59" s="18">
        <f t="shared" si="6"/>
        <v>7186591.2999999998</v>
      </c>
      <c r="E59" s="19">
        <f t="shared" si="8"/>
        <v>88.833019777503083</v>
      </c>
    </row>
    <row r="60" spans="1:5" ht="15" customHeight="1" x14ac:dyDescent="0.3">
      <c r="A60" s="17" t="s">
        <v>59</v>
      </c>
      <c r="B60" s="18">
        <f>[35]SCF!C56</f>
        <v>2205000</v>
      </c>
      <c r="C60" s="18">
        <v>727490.28</v>
      </c>
      <c r="D60" s="18">
        <f t="shared" si="6"/>
        <v>1477509.72</v>
      </c>
      <c r="E60" s="19">
        <f t="shared" si="8"/>
        <v>67.007243537414965</v>
      </c>
    </row>
    <row r="61" spans="1:5" ht="15" customHeight="1" x14ac:dyDescent="0.3">
      <c r="A61" s="17" t="s">
        <v>60</v>
      </c>
      <c r="B61" s="18">
        <f>[35]SCF!C57</f>
        <v>595000</v>
      </c>
      <c r="C61" s="18">
        <v>269936.07999999996</v>
      </c>
      <c r="D61" s="18">
        <f t="shared" si="6"/>
        <v>325063.92000000004</v>
      </c>
      <c r="E61" s="19">
        <f t="shared" si="8"/>
        <v>54.632591596638655</v>
      </c>
    </row>
    <row r="62" spans="1:5" ht="15" customHeight="1" x14ac:dyDescent="0.3">
      <c r="A62" s="10" t="s">
        <v>61</v>
      </c>
      <c r="B62" s="11" t="s">
        <v>15</v>
      </c>
      <c r="C62" s="18"/>
      <c r="D62" s="11" t="s">
        <v>15</v>
      </c>
      <c r="E62" s="13" t="s">
        <v>15</v>
      </c>
    </row>
    <row r="63" spans="1:5" x14ac:dyDescent="0.3">
      <c r="A63" s="24" t="s">
        <v>62</v>
      </c>
      <c r="B63" s="18">
        <f>[35]SCF!C60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63</v>
      </c>
      <c r="B64" s="18">
        <f>[35]SCF!C61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64</v>
      </c>
      <c r="B65" s="18">
        <f>[35]SCF!C62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65</v>
      </c>
      <c r="B66" s="18">
        <f>[35]SCF!C63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66</v>
      </c>
      <c r="B67" s="18">
        <f>[35]SCF!C64</f>
        <v>8750000</v>
      </c>
      <c r="C67" s="18">
        <v>4190204.63</v>
      </c>
      <c r="D67" s="18">
        <f t="shared" si="9"/>
        <v>-4559795.37</v>
      </c>
      <c r="E67" s="19">
        <f t="shared" si="10"/>
        <v>-52.111947085714284</v>
      </c>
    </row>
    <row r="68" spans="1:5" ht="15" customHeight="1" x14ac:dyDescent="0.3">
      <c r="A68" s="30" t="s">
        <v>67</v>
      </c>
      <c r="B68" s="15">
        <f>+B63+B64+B65+B66+B67</f>
        <v>8750000</v>
      </c>
      <c r="C68" s="31">
        <v>4190204.63</v>
      </c>
      <c r="D68" s="31">
        <f t="shared" ref="D68" si="11">+C68-B68</f>
        <v>-4559795.37</v>
      </c>
      <c r="E68" s="32">
        <f t="shared" ref="E68" si="12">+D68/B68*100</f>
        <v>-52.111947085714284</v>
      </c>
    </row>
    <row r="69" spans="1:5" ht="15" customHeight="1" x14ac:dyDescent="0.3">
      <c r="A69" s="10" t="s">
        <v>68</v>
      </c>
      <c r="B69" s="11" t="s">
        <v>15</v>
      </c>
      <c r="C69" s="12" t="s">
        <v>15</v>
      </c>
      <c r="D69" s="11" t="s">
        <v>15</v>
      </c>
      <c r="E69" s="13" t="s">
        <v>15</v>
      </c>
    </row>
    <row r="70" spans="1:5" ht="15" customHeight="1" x14ac:dyDescent="0.3">
      <c r="A70" s="14" t="s">
        <v>69</v>
      </c>
      <c r="B70" s="15">
        <f>[35]SCF!C67</f>
        <v>31794714</v>
      </c>
      <c r="C70" s="15">
        <v>11427569.43</v>
      </c>
      <c r="D70" s="15">
        <f t="shared" ref="D70:D82" si="13">+C70-B70</f>
        <v>-20367144.57</v>
      </c>
      <c r="E70" s="16">
        <f t="shared" ref="E70:E82" si="14">+D70/B70*100</f>
        <v>-64.058272610975521</v>
      </c>
    </row>
    <row r="71" spans="1:5" ht="15" customHeight="1" x14ac:dyDescent="0.3">
      <c r="A71" s="17" t="s">
        <v>20</v>
      </c>
      <c r="B71" s="18">
        <f>[35]SCF!C68</f>
        <v>20275384.5</v>
      </c>
      <c r="C71" s="18">
        <v>9144846.75</v>
      </c>
      <c r="D71" s="18">
        <f t="shared" si="13"/>
        <v>-11130537.75</v>
      </c>
      <c r="E71" s="19">
        <f t="shared" ref="E71:E81" si="15">IFERROR(+D71/B71*100,0)</f>
        <v>-54.896802326979298</v>
      </c>
    </row>
    <row r="72" spans="1:5" ht="15" customHeight="1" x14ac:dyDescent="0.3">
      <c r="A72" s="17" t="s">
        <v>21</v>
      </c>
      <c r="B72" s="18">
        <f>[35]SCF!C69</f>
        <v>193315.5</v>
      </c>
      <c r="C72" s="18">
        <v>87099.6</v>
      </c>
      <c r="D72" s="18">
        <f t="shared" si="13"/>
        <v>-106215.9</v>
      </c>
      <c r="E72" s="19">
        <f t="shared" si="15"/>
        <v>-54.944326761175375</v>
      </c>
    </row>
    <row r="73" spans="1:5" ht="15" customHeight="1" x14ac:dyDescent="0.3">
      <c r="A73" s="17" t="s">
        <v>22</v>
      </c>
      <c r="B73" s="18">
        <f>[35]SCF!C70</f>
        <v>284287.5</v>
      </c>
      <c r="C73" s="18">
        <v>101.14999999999999</v>
      </c>
      <c r="D73" s="18">
        <f t="shared" si="13"/>
        <v>-284186.34999999998</v>
      </c>
      <c r="E73" s="19">
        <f t="shared" si="15"/>
        <v>-99.964419821483531</v>
      </c>
    </row>
    <row r="74" spans="1:5" ht="15" customHeight="1" x14ac:dyDescent="0.3">
      <c r="A74" s="17" t="s">
        <v>70</v>
      </c>
      <c r="B74" s="18">
        <f>[35]SCF!C71</f>
        <v>6174724.5</v>
      </c>
      <c r="C74" s="18">
        <v>2751.4300000000003</v>
      </c>
      <c r="D74" s="18">
        <f t="shared" si="13"/>
        <v>-6171973.0700000003</v>
      </c>
      <c r="E74" s="19">
        <f t="shared" si="15"/>
        <v>-99.955440441107939</v>
      </c>
    </row>
    <row r="75" spans="1:5" ht="15" customHeight="1" x14ac:dyDescent="0.3">
      <c r="A75" s="17" t="s">
        <v>24</v>
      </c>
      <c r="B75" s="18">
        <f>[35]SCF!C72</f>
        <v>4867002</v>
      </c>
      <c r="C75" s="18">
        <v>2192770.5</v>
      </c>
      <c r="D75" s="18">
        <f t="shared" si="13"/>
        <v>-2674231.5</v>
      </c>
      <c r="E75" s="19">
        <f t="shared" si="15"/>
        <v>-54.946176311413062</v>
      </c>
    </row>
    <row r="76" spans="1:5" ht="15" customHeight="1" x14ac:dyDescent="0.3">
      <c r="A76" s="17" t="s">
        <v>25</v>
      </c>
      <c r="B76" s="18">
        <f>[35]SCF!C73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71</v>
      </c>
      <c r="B77" s="18">
        <f>[35]SCF!C74</f>
        <v>11178184.5</v>
      </c>
      <c r="C77" s="18">
        <v>441810.92</v>
      </c>
      <c r="D77" s="18">
        <f t="shared" ref="D77:D81" si="16">C77-B77</f>
        <v>-10736373.58</v>
      </c>
      <c r="E77" s="19">
        <f t="shared" si="15"/>
        <v>-96.04756103283141</v>
      </c>
    </row>
    <row r="78" spans="1:5" x14ac:dyDescent="0.3">
      <c r="A78" s="24" t="s">
        <v>72</v>
      </c>
      <c r="B78" s="18">
        <f>[35]SCF!C75</f>
        <v>14482616.710000001</v>
      </c>
      <c r="C78" s="18">
        <v>9233763.2800000012</v>
      </c>
      <c r="D78" s="18">
        <f t="shared" si="16"/>
        <v>-5248853.43</v>
      </c>
      <c r="E78" s="19">
        <f t="shared" si="15"/>
        <v>-36.242438332126511</v>
      </c>
    </row>
    <row r="79" spans="1:5" ht="15" customHeight="1" x14ac:dyDescent="0.3">
      <c r="A79" s="24" t="s">
        <v>73</v>
      </c>
      <c r="B79" s="18">
        <f>[35]SCF!C76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74</v>
      </c>
      <c r="B80" s="18">
        <f>[35]SCF!C77</f>
        <v>1000000</v>
      </c>
      <c r="C80" s="18">
        <v>180215.31</v>
      </c>
      <c r="D80" s="18">
        <f t="shared" si="16"/>
        <v>-819784.69</v>
      </c>
      <c r="E80" s="19">
        <f t="shared" si="15"/>
        <v>-81.978469000000004</v>
      </c>
    </row>
    <row r="81" spans="1:5" x14ac:dyDescent="0.3">
      <c r="A81" s="24" t="s">
        <v>75</v>
      </c>
      <c r="B81" s="18">
        <f>[35]SCF!C78</f>
        <v>1000000</v>
      </c>
      <c r="C81" s="18">
        <v>13666889.059999999</v>
      </c>
      <c r="D81" s="18">
        <f t="shared" si="16"/>
        <v>12666889.059999999</v>
      </c>
      <c r="E81" s="19">
        <f t="shared" si="15"/>
        <v>1266.6889059999999</v>
      </c>
    </row>
    <row r="82" spans="1:5" ht="15" customHeight="1" x14ac:dyDescent="0.3">
      <c r="A82" s="30" t="s">
        <v>76</v>
      </c>
      <c r="B82" s="15">
        <f>+B70+B77+B78+B79+B80+B81</f>
        <v>59455515.210000001</v>
      </c>
      <c r="C82" s="31">
        <v>34950248</v>
      </c>
      <c r="D82" s="31">
        <f t="shared" si="13"/>
        <v>-24505267.210000001</v>
      </c>
      <c r="E82" s="32">
        <f t="shared" si="14"/>
        <v>-41.216138020915487</v>
      </c>
    </row>
    <row r="83" spans="1:5" ht="15" customHeight="1" x14ac:dyDescent="0.3">
      <c r="A83" s="10" t="s">
        <v>77</v>
      </c>
      <c r="B83" s="11" t="s">
        <v>15</v>
      </c>
      <c r="C83" s="12" t="s">
        <v>15</v>
      </c>
      <c r="D83" s="11" t="s">
        <v>15</v>
      </c>
      <c r="E83" s="13" t="s">
        <v>15</v>
      </c>
    </row>
    <row r="84" spans="1:5" ht="15" customHeight="1" x14ac:dyDescent="0.3">
      <c r="A84" s="24" t="s">
        <v>78</v>
      </c>
      <c r="B84" s="18">
        <f>[35]SCF!C81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79</v>
      </c>
      <c r="B85" s="18">
        <f>[35]SCF!C82</f>
        <v>94660898.5</v>
      </c>
      <c r="C85" s="18">
        <v>9644573.2499999981</v>
      </c>
      <c r="D85" s="18">
        <f t="shared" si="17"/>
        <v>-85016325.25</v>
      </c>
      <c r="E85" s="19">
        <f t="shared" si="18"/>
        <v>-89.811449708561554</v>
      </c>
    </row>
    <row r="86" spans="1:5" ht="15" customHeight="1" x14ac:dyDescent="0.3">
      <c r="A86" s="24" t="s">
        <v>80</v>
      </c>
      <c r="B86" s="18">
        <f>[35]SCF!C83</f>
        <v>11844000</v>
      </c>
      <c r="C86" s="18">
        <v>1288128.8899999999</v>
      </c>
      <c r="D86" s="18">
        <f t="shared" si="17"/>
        <v>-10555871.109999999</v>
      </c>
      <c r="E86" s="19">
        <f t="shared" si="18"/>
        <v>-89.124207277946638</v>
      </c>
    </row>
    <row r="87" spans="1:5" ht="15" customHeight="1" x14ac:dyDescent="0.3">
      <c r="A87" s="30" t="s">
        <v>81</v>
      </c>
      <c r="B87" s="33">
        <f>+B84+B85+B86</f>
        <v>106504898.5</v>
      </c>
      <c r="C87" s="31">
        <v>10932702.139999999</v>
      </c>
      <c r="D87" s="31">
        <f t="shared" si="17"/>
        <v>-95572196.359999999</v>
      </c>
      <c r="E87" s="32">
        <f>+D87/B87*100</f>
        <v>-89.73502412191867</v>
      </c>
    </row>
    <row r="88" spans="1:5" ht="18" customHeight="1" x14ac:dyDescent="0.3">
      <c r="A88" s="25" t="s">
        <v>82</v>
      </c>
      <c r="B88" s="27">
        <f>+B45+B46+B68+B82+B87</f>
        <v>1161624624.1800001</v>
      </c>
      <c r="C88" s="27">
        <v>766891607.89999998</v>
      </c>
      <c r="D88" s="27">
        <f t="shared" si="17"/>
        <v>-394733016.28000009</v>
      </c>
      <c r="E88" s="28">
        <f>+D88/B88*100</f>
        <v>-33.981116452196872</v>
      </c>
    </row>
    <row r="89" spans="1:5" x14ac:dyDescent="0.3">
      <c r="A89" s="29" t="s">
        <v>15</v>
      </c>
      <c r="B89" s="3"/>
      <c r="C89" s="3"/>
      <c r="D89" s="3"/>
      <c r="E89" s="3"/>
    </row>
    <row r="90" spans="1:5" ht="15" customHeight="1" x14ac:dyDescent="0.3">
      <c r="A90" s="10" t="s">
        <v>83</v>
      </c>
      <c r="B90" s="11" t="s">
        <v>15</v>
      </c>
      <c r="C90" s="12" t="s">
        <v>15</v>
      </c>
      <c r="D90" s="11" t="s">
        <v>15</v>
      </c>
      <c r="E90" s="13" t="s">
        <v>15</v>
      </c>
    </row>
    <row r="91" spans="1:5" x14ac:dyDescent="0.3">
      <c r="A91" s="24" t="s">
        <v>84</v>
      </c>
      <c r="B91" s="18">
        <f>[35]SCF!C88</f>
        <v>0</v>
      </c>
      <c r="C91" s="18">
        <v>2469528.75</v>
      </c>
      <c r="D91" s="18">
        <f t="shared" ref="D91:D98" si="19">+C91-B91</f>
        <v>2469528.75</v>
      </c>
      <c r="E91" s="19">
        <f>IFERROR(+D91/B91*100,0)</f>
        <v>0</v>
      </c>
    </row>
    <row r="92" spans="1:5" ht="15" customHeight="1" x14ac:dyDescent="0.3">
      <c r="A92" s="24" t="s">
        <v>85</v>
      </c>
      <c r="B92" s="18">
        <f>[35]SCF!C89</f>
        <v>0</v>
      </c>
      <c r="C92" s="18">
        <v>17173632.379999999</v>
      </c>
      <c r="D92" s="18">
        <f t="shared" si="19"/>
        <v>17173632.379999999</v>
      </c>
      <c r="E92" s="19">
        <f t="shared" ref="E92:E97" si="20">IFERROR(+D92/B92*100,0)</f>
        <v>0</v>
      </c>
    </row>
    <row r="93" spans="1:5" ht="15" customHeight="1" x14ac:dyDescent="0.3">
      <c r="A93" s="24" t="s">
        <v>86</v>
      </c>
      <c r="B93" s="18">
        <f>[35]SCF!C90</f>
        <v>4500000</v>
      </c>
      <c r="C93" s="18">
        <v>3942566.5</v>
      </c>
      <c r="D93" s="18">
        <f t="shared" si="19"/>
        <v>-557433.5</v>
      </c>
      <c r="E93" s="19">
        <f t="shared" si="20"/>
        <v>-12.387411111111112</v>
      </c>
    </row>
    <row r="94" spans="1:5" ht="15" customHeight="1" x14ac:dyDescent="0.3">
      <c r="A94" s="24" t="s">
        <v>87</v>
      </c>
      <c r="B94" s="18">
        <f>[35]SCF!C91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88</v>
      </c>
      <c r="B95" s="18">
        <f>[35]SCF!C92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89</v>
      </c>
      <c r="B96" s="18">
        <f>[35]SCF!C93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90</v>
      </c>
      <c r="B97" s="18">
        <f>[35]SCF!C94</f>
        <v>0</v>
      </c>
      <c r="C97" s="18">
        <v>6478187.4100000001</v>
      </c>
      <c r="D97" s="18">
        <f t="shared" si="19"/>
        <v>6478187.4100000001</v>
      </c>
      <c r="E97" s="19">
        <f t="shared" si="20"/>
        <v>0</v>
      </c>
    </row>
    <row r="98" spans="1:5" ht="15" customHeight="1" x14ac:dyDescent="0.3">
      <c r="A98" s="30" t="s">
        <v>91</v>
      </c>
      <c r="B98" s="33">
        <f>SUM(B91:B97)</f>
        <v>4500000</v>
      </c>
      <c r="C98" s="31">
        <v>30063915.039999999</v>
      </c>
      <c r="D98" s="31">
        <f t="shared" si="19"/>
        <v>25563915.039999999</v>
      </c>
      <c r="E98" s="32">
        <f t="shared" ref="E98" si="21">+D98/B98*100</f>
        <v>568.08700088888884</v>
      </c>
    </row>
    <row r="99" spans="1:5" ht="15" customHeight="1" x14ac:dyDescent="0.3">
      <c r="A99" s="34" t="s">
        <v>92</v>
      </c>
      <c r="B99" s="35">
        <f>+B42-B88-B98</f>
        <v>-99995024.810000062</v>
      </c>
      <c r="C99" s="36">
        <v>77527916.920000285</v>
      </c>
      <c r="D99" s="37" t="s">
        <v>15</v>
      </c>
      <c r="E99" s="38" t="s">
        <v>15</v>
      </c>
    </row>
    <row r="100" spans="1:5" ht="15" customHeight="1" x14ac:dyDescent="0.3">
      <c r="A100" s="39" t="s">
        <v>93</v>
      </c>
      <c r="B100" s="18">
        <f>[35]SCF!$C$97</f>
        <v>100000000</v>
      </c>
      <c r="C100" s="18">
        <v>73945819.829999998</v>
      </c>
      <c r="D100" s="40" t="s">
        <v>15</v>
      </c>
      <c r="E100" s="41" t="s">
        <v>15</v>
      </c>
    </row>
    <row r="101" spans="1:5" ht="15" customHeight="1" x14ac:dyDescent="0.3">
      <c r="A101" s="34" t="s">
        <v>94</v>
      </c>
      <c r="B101" s="35">
        <f>B99+B100</f>
        <v>4975.1899999380112</v>
      </c>
      <c r="C101" s="36">
        <v>151473736.7500003</v>
      </c>
      <c r="D101" s="42" t="s">
        <v>15</v>
      </c>
      <c r="E101" s="43" t="s">
        <v>15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01"/>
  <sheetViews>
    <sheetView showGridLines="0" topLeftCell="A37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TARELCO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+[36]SCF!$C$2</f>
        <v>TARELCO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14</v>
      </c>
      <c r="B15" s="11" t="s">
        <v>15</v>
      </c>
      <c r="C15" s="12" t="s">
        <v>15</v>
      </c>
      <c r="D15" s="11" t="s">
        <v>15</v>
      </c>
      <c r="E15" s="13" t="s">
        <v>15</v>
      </c>
    </row>
    <row r="16" spans="1:5" ht="15" customHeight="1" x14ac:dyDescent="0.3">
      <c r="A16" s="14" t="s">
        <v>16</v>
      </c>
      <c r="B16" s="15">
        <f>[36]SCF!C12</f>
        <v>5958425278.8000002</v>
      </c>
      <c r="C16" s="15">
        <v>2694274777.9200001</v>
      </c>
      <c r="D16" s="15">
        <f>+C16-B16</f>
        <v>-3264150500.8800001</v>
      </c>
      <c r="E16" s="16">
        <f t="shared" ref="E16:E42" si="0">+D16/B16*100</f>
        <v>-54.78210010443204</v>
      </c>
    </row>
    <row r="17" spans="1:5" ht="15" customHeight="1" x14ac:dyDescent="0.3">
      <c r="A17" s="17" t="s">
        <v>17</v>
      </c>
      <c r="B17" s="18">
        <f>[36]SCF!C13</f>
        <v>5257197788</v>
      </c>
      <c r="C17" s="18">
        <v>2538718842.1199999</v>
      </c>
      <c r="D17" s="18">
        <f t="shared" ref="D17:D42" si="1">+C17-B17</f>
        <v>-2718478945.8800001</v>
      </c>
      <c r="E17" s="19">
        <f t="shared" ref="E17:E18" si="2">IFERROR(+D17/B17*100,0)</f>
        <v>-51.709657036019443</v>
      </c>
    </row>
    <row r="18" spans="1:5" ht="15" customHeight="1" x14ac:dyDescent="0.3">
      <c r="A18" s="17" t="s">
        <v>18</v>
      </c>
      <c r="B18" s="18">
        <f>[36]SCF!C14</f>
        <v>142387242</v>
      </c>
      <c r="C18" s="18">
        <v>66432993.490000002</v>
      </c>
      <c r="D18" s="18">
        <f t="shared" si="1"/>
        <v>-75954248.50999999</v>
      </c>
      <c r="E18" s="19">
        <f t="shared" si="2"/>
        <v>-53.34343684387116</v>
      </c>
    </row>
    <row r="19" spans="1:5" ht="15" customHeight="1" x14ac:dyDescent="0.3">
      <c r="A19" s="20" t="s">
        <v>19</v>
      </c>
      <c r="B19" s="15">
        <f>[36]SCF!C15</f>
        <v>83938495.590000004</v>
      </c>
      <c r="C19" s="21">
        <v>35207201.090000004</v>
      </c>
      <c r="D19" s="21">
        <f t="shared" si="1"/>
        <v>-48731294.5</v>
      </c>
      <c r="E19" s="22">
        <f t="shared" si="0"/>
        <v>-58.055954133404306</v>
      </c>
    </row>
    <row r="20" spans="1:5" ht="15" customHeight="1" x14ac:dyDescent="0.3">
      <c r="A20" s="23" t="s">
        <v>20</v>
      </c>
      <c r="B20" s="18">
        <f>[36]SCF!C16</f>
        <v>65158892.5</v>
      </c>
      <c r="C20" s="18">
        <v>27860502.91</v>
      </c>
      <c r="D20" s="18">
        <f t="shared" si="1"/>
        <v>-37298389.590000004</v>
      </c>
      <c r="E20" s="19">
        <f t="shared" ref="E20:E28" si="3">IFERROR(+D20/B20*100,0)</f>
        <v>-57.242209250256984</v>
      </c>
    </row>
    <row r="21" spans="1:5" ht="15" customHeight="1" x14ac:dyDescent="0.3">
      <c r="A21" s="23" t="s">
        <v>21</v>
      </c>
      <c r="B21" s="18">
        <f>[36]SCF!C17</f>
        <v>717423.04</v>
      </c>
      <c r="C21" s="18">
        <v>306812.73</v>
      </c>
      <c r="D21" s="18">
        <f t="shared" si="1"/>
        <v>-410610.31000000006</v>
      </c>
      <c r="E21" s="19">
        <f t="shared" si="3"/>
        <v>-57.23405677074436</v>
      </c>
    </row>
    <row r="22" spans="1:5" ht="15" customHeight="1" x14ac:dyDescent="0.3">
      <c r="A22" s="23" t="s">
        <v>22</v>
      </c>
      <c r="B22" s="18">
        <f>[36]SCF!C18</f>
        <v>0</v>
      </c>
      <c r="C22" s="18">
        <v>1517347.28</v>
      </c>
      <c r="D22" s="18">
        <f t="shared" si="1"/>
        <v>1517347.28</v>
      </c>
      <c r="E22" s="19">
        <f t="shared" si="3"/>
        <v>0</v>
      </c>
    </row>
    <row r="23" spans="1:5" ht="15" customHeight="1" x14ac:dyDescent="0.3">
      <c r="A23" s="23" t="s">
        <v>23</v>
      </c>
      <c r="B23" s="18">
        <f>[36]SCF!C19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24</v>
      </c>
      <c r="B24" s="18">
        <f>[36]SCF!C20</f>
        <v>18062180.050000001</v>
      </c>
      <c r="C24" s="18">
        <v>1238767.52</v>
      </c>
      <c r="D24" s="18">
        <f t="shared" si="1"/>
        <v>-16823412.530000001</v>
      </c>
      <c r="E24" s="19">
        <f t="shared" si="3"/>
        <v>-93.141650030224341</v>
      </c>
    </row>
    <row r="25" spans="1:5" ht="15" customHeight="1" x14ac:dyDescent="0.3">
      <c r="A25" s="23" t="s">
        <v>25</v>
      </c>
      <c r="B25" s="18">
        <f>[36]SCF!C21</f>
        <v>0</v>
      </c>
      <c r="C25" s="18">
        <v>4283770.6500000004</v>
      </c>
      <c r="D25" s="18">
        <f t="shared" si="1"/>
        <v>4283770.6500000004</v>
      </c>
      <c r="E25" s="19">
        <f t="shared" si="3"/>
        <v>0</v>
      </c>
    </row>
    <row r="26" spans="1:5" ht="15" customHeight="1" x14ac:dyDescent="0.3">
      <c r="A26" s="17" t="s">
        <v>26</v>
      </c>
      <c r="B26" s="18">
        <f>[36]SCF!C22</f>
        <v>41483932.210000001</v>
      </c>
      <c r="C26" s="18">
        <v>608260.10999999987</v>
      </c>
      <c r="D26" s="18">
        <f t="shared" si="1"/>
        <v>-40875672.100000001</v>
      </c>
      <c r="E26" s="19">
        <f t="shared" si="3"/>
        <v>-98.533745289812785</v>
      </c>
    </row>
    <row r="27" spans="1:5" ht="15" customHeight="1" x14ac:dyDescent="0.3">
      <c r="A27" s="17" t="s">
        <v>27</v>
      </c>
      <c r="B27" s="18">
        <f>[36]SCF!C23</f>
        <v>389935965</v>
      </c>
      <c r="C27" s="18">
        <v>53307481.109999999</v>
      </c>
      <c r="D27" s="18">
        <f t="shared" si="1"/>
        <v>-336628483.88999999</v>
      </c>
      <c r="E27" s="19">
        <f t="shared" si="3"/>
        <v>-86.329170454948922</v>
      </c>
    </row>
    <row r="28" spans="1:5" ht="15" customHeight="1" x14ac:dyDescent="0.3">
      <c r="A28" s="17" t="s">
        <v>28</v>
      </c>
      <c r="B28" s="18">
        <f>[36]SCF!C24</f>
        <v>43481856</v>
      </c>
      <c r="C28" s="18">
        <v>0</v>
      </c>
      <c r="D28" s="18">
        <f t="shared" si="1"/>
        <v>-43481856</v>
      </c>
      <c r="E28" s="19">
        <f t="shared" si="3"/>
        <v>-100</v>
      </c>
    </row>
    <row r="29" spans="1:5" ht="15" customHeight="1" x14ac:dyDescent="0.3">
      <c r="A29" s="14" t="s">
        <v>29</v>
      </c>
      <c r="B29" s="15">
        <f>[36]SCF!C25</f>
        <v>276612853</v>
      </c>
      <c r="C29" s="15">
        <v>99057624.299999997</v>
      </c>
      <c r="D29" s="15">
        <f t="shared" si="1"/>
        <v>-177555228.69999999</v>
      </c>
      <c r="E29" s="16">
        <f t="shared" si="0"/>
        <v>-64.18907392564293</v>
      </c>
    </row>
    <row r="30" spans="1:5" ht="15" customHeight="1" x14ac:dyDescent="0.3">
      <c r="A30" s="17" t="s">
        <v>30</v>
      </c>
      <c r="B30" s="18">
        <f>[36]SCF!C26</f>
        <v>115562952</v>
      </c>
      <c r="C30" s="18">
        <v>85059842.359999999</v>
      </c>
      <c r="D30" s="18">
        <f t="shared" si="1"/>
        <v>-30503109.640000001</v>
      </c>
      <c r="E30" s="19">
        <f t="shared" ref="E30:E32" si="4">IFERROR(+D30/B30*100,0)</f>
        <v>-26.395232305938325</v>
      </c>
    </row>
    <row r="31" spans="1:5" ht="15" customHeight="1" x14ac:dyDescent="0.3">
      <c r="A31" s="17" t="s">
        <v>31</v>
      </c>
      <c r="B31" s="18">
        <f>[36]SCF!C27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32</v>
      </c>
      <c r="B32" s="18">
        <f>[36]SCF!C28</f>
        <v>161049901</v>
      </c>
      <c r="C32" s="18">
        <v>13997781.940000001</v>
      </c>
      <c r="D32" s="18">
        <f t="shared" si="1"/>
        <v>-147052119.06</v>
      </c>
      <c r="E32" s="19">
        <f t="shared" si="4"/>
        <v>-91.308419407224591</v>
      </c>
    </row>
    <row r="33" spans="1:5" x14ac:dyDescent="0.3">
      <c r="A33" s="14" t="s">
        <v>33</v>
      </c>
      <c r="B33" s="15">
        <f>[36]SCF!C29</f>
        <v>601294866</v>
      </c>
      <c r="C33" s="15">
        <v>0</v>
      </c>
      <c r="D33" s="15">
        <f t="shared" si="1"/>
        <v>-601294866</v>
      </c>
      <c r="E33" s="16">
        <f t="shared" si="0"/>
        <v>-100</v>
      </c>
    </row>
    <row r="34" spans="1:5" ht="15" customHeight="1" x14ac:dyDescent="0.3">
      <c r="A34" s="17" t="s">
        <v>34</v>
      </c>
      <c r="B34" s="18">
        <f>[36]SCF!C30</f>
        <v>601294866</v>
      </c>
      <c r="C34" s="18">
        <v>0</v>
      </c>
      <c r="D34" s="18">
        <f t="shared" si="1"/>
        <v>-601294866</v>
      </c>
      <c r="E34" s="19">
        <f t="shared" ref="E34:E41" si="5">IFERROR(+D34/B34*100,0)</f>
        <v>-100</v>
      </c>
    </row>
    <row r="35" spans="1:5" ht="15" customHeight="1" x14ac:dyDescent="0.3">
      <c r="A35" s="17" t="s">
        <v>35</v>
      </c>
      <c r="B35" s="18">
        <f>[36]SCF!C31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36</v>
      </c>
      <c r="B36" s="18">
        <f>[36]SCF!C32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37</v>
      </c>
      <c r="B37" s="18">
        <f>[36]SCF!C33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38</v>
      </c>
      <c r="B38" s="18">
        <f>[36]SCF!C34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39</v>
      </c>
      <c r="B39" s="18">
        <f>[36]SCF!C35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40</v>
      </c>
      <c r="B40" s="18">
        <f>[36]SCF!C36</f>
        <v>692744167</v>
      </c>
      <c r="C40" s="18">
        <v>0</v>
      </c>
      <c r="D40" s="18">
        <f t="shared" si="1"/>
        <v>-692744167</v>
      </c>
      <c r="E40" s="19">
        <f t="shared" si="5"/>
        <v>-100</v>
      </c>
    </row>
    <row r="41" spans="1:5" ht="15" customHeight="1" x14ac:dyDescent="0.3">
      <c r="A41" s="24" t="s">
        <v>41</v>
      </c>
      <c r="B41" s="18">
        <f>[36]SCF!C37</f>
        <v>0</v>
      </c>
      <c r="C41" s="18">
        <v>11803751.939999999</v>
      </c>
      <c r="D41" s="18">
        <f t="shared" si="1"/>
        <v>11803751.939999999</v>
      </c>
      <c r="E41" s="19">
        <f t="shared" si="5"/>
        <v>0</v>
      </c>
    </row>
    <row r="42" spans="1:5" ht="15" customHeight="1" x14ac:dyDescent="0.3">
      <c r="A42" s="25" t="s">
        <v>42</v>
      </c>
      <c r="B42" s="26">
        <f>[36]SCF!C38</f>
        <v>7529077164.8000002</v>
      </c>
      <c r="C42" s="27">
        <v>2805136154.1600003</v>
      </c>
      <c r="D42" s="27">
        <f t="shared" si="1"/>
        <v>-4723941010.6399994</v>
      </c>
      <c r="E42" s="28">
        <f t="shared" si="0"/>
        <v>-62.742629770423989</v>
      </c>
    </row>
    <row r="43" spans="1:5" ht="18" customHeight="1" x14ac:dyDescent="0.3">
      <c r="A43" s="29" t="s">
        <v>15</v>
      </c>
      <c r="B43" s="3"/>
      <c r="C43" s="3"/>
      <c r="D43" s="3"/>
      <c r="E43" s="3"/>
    </row>
    <row r="44" spans="1:5" ht="15" customHeight="1" x14ac:dyDescent="0.3">
      <c r="A44" s="10" t="s">
        <v>43</v>
      </c>
      <c r="B44" s="11" t="s">
        <v>15</v>
      </c>
      <c r="C44" s="12" t="s">
        <v>15</v>
      </c>
      <c r="D44" s="11" t="s">
        <v>15</v>
      </c>
      <c r="E44" s="13" t="s">
        <v>15</v>
      </c>
    </row>
    <row r="45" spans="1:5" ht="15" customHeight="1" x14ac:dyDescent="0.3">
      <c r="A45" s="24" t="s">
        <v>44</v>
      </c>
      <c r="B45" s="18">
        <f>[36]SCF!C41</f>
        <v>4669738254</v>
      </c>
      <c r="C45" s="18">
        <v>1983399699.2099998</v>
      </c>
      <c r="D45" s="18">
        <f>C45-B45</f>
        <v>-2686338554.79</v>
      </c>
      <c r="E45" s="19">
        <f>IFERROR(+D45/B45*100,0)</f>
        <v>-57.526533794242937</v>
      </c>
    </row>
    <row r="46" spans="1:5" ht="15" customHeight="1" x14ac:dyDescent="0.3">
      <c r="A46" s="14" t="s">
        <v>45</v>
      </c>
      <c r="B46" s="15">
        <f>[36]SCF!C42</f>
        <v>425844747</v>
      </c>
      <c r="C46" s="15">
        <v>178570110.72</v>
      </c>
      <c r="D46" s="15">
        <f t="shared" ref="D46:D61" si="6">+B46-C46</f>
        <v>247274636.28</v>
      </c>
      <c r="E46" s="16">
        <f t="shared" ref="E46" si="7">+D46/B46*100</f>
        <v>58.066851363555742</v>
      </c>
    </row>
    <row r="47" spans="1:5" ht="15" customHeight="1" x14ac:dyDescent="0.3">
      <c r="A47" s="17" t="s">
        <v>46</v>
      </c>
      <c r="B47" s="18">
        <f>[36]SCF!C43</f>
        <v>202543616</v>
      </c>
      <c r="C47" s="18">
        <v>96506989.620000005</v>
      </c>
      <c r="D47" s="18">
        <f t="shared" si="6"/>
        <v>106036626.38</v>
      </c>
      <c r="E47" s="19">
        <f t="shared" ref="E47:E61" si="8">IFERROR(+D47/B47*100,0)</f>
        <v>52.352490033554055</v>
      </c>
    </row>
    <row r="48" spans="1:5" ht="15" customHeight="1" x14ac:dyDescent="0.3">
      <c r="A48" s="17" t="s">
        <v>47</v>
      </c>
      <c r="B48" s="18">
        <f>[36]SCF!C44</f>
        <v>15165744</v>
      </c>
      <c r="C48" s="18">
        <v>7574197.5</v>
      </c>
      <c r="D48" s="18">
        <f t="shared" si="6"/>
        <v>7591546.5</v>
      </c>
      <c r="E48" s="19">
        <f t="shared" si="8"/>
        <v>50.057197985143361</v>
      </c>
    </row>
    <row r="49" spans="1:5" ht="15" customHeight="1" x14ac:dyDescent="0.3">
      <c r="A49" s="17" t="s">
        <v>48</v>
      </c>
      <c r="B49" s="18">
        <f>[36]SCF!C45</f>
        <v>114805096</v>
      </c>
      <c r="C49" s="18">
        <v>48333051.960000008</v>
      </c>
      <c r="D49" s="18">
        <f t="shared" si="6"/>
        <v>66472044.039999992</v>
      </c>
      <c r="E49" s="19">
        <f t="shared" si="8"/>
        <v>57.89990719575723</v>
      </c>
    </row>
    <row r="50" spans="1:5" ht="15" customHeight="1" x14ac:dyDescent="0.3">
      <c r="A50" s="17" t="s">
        <v>49</v>
      </c>
      <c r="B50" s="18">
        <f>[36]SCF!C46</f>
        <v>2878665</v>
      </c>
      <c r="C50" s="18">
        <v>910937.81</v>
      </c>
      <c r="D50" s="18">
        <f t="shared" si="6"/>
        <v>1967727.19</v>
      </c>
      <c r="E50" s="19">
        <f t="shared" si="8"/>
        <v>68.355546407796666</v>
      </c>
    </row>
    <row r="51" spans="1:5" ht="15" customHeight="1" x14ac:dyDescent="0.3">
      <c r="A51" s="17" t="s">
        <v>50</v>
      </c>
      <c r="B51" s="18">
        <f>[36]SCF!C47</f>
        <v>5200000</v>
      </c>
      <c r="C51" s="18">
        <v>1712604.1</v>
      </c>
      <c r="D51" s="18">
        <f t="shared" si="6"/>
        <v>3487395.9</v>
      </c>
      <c r="E51" s="19">
        <f t="shared" si="8"/>
        <v>67.065305769230761</v>
      </c>
    </row>
    <row r="52" spans="1:5" x14ac:dyDescent="0.3">
      <c r="A52" s="17" t="s">
        <v>51</v>
      </c>
      <c r="B52" s="18">
        <f>[36]SCF!C48</f>
        <v>1230000</v>
      </c>
      <c r="C52" s="18">
        <v>394265.97000000003</v>
      </c>
      <c r="D52" s="18">
        <f t="shared" si="6"/>
        <v>835734.03</v>
      </c>
      <c r="E52" s="19">
        <f t="shared" si="8"/>
        <v>67.945856097560977</v>
      </c>
    </row>
    <row r="53" spans="1:5" ht="15" customHeight="1" x14ac:dyDescent="0.3">
      <c r="A53" s="17" t="s">
        <v>52</v>
      </c>
      <c r="B53" s="18">
        <f>[36]SCF!C49</f>
        <v>12544479</v>
      </c>
      <c r="C53" s="18">
        <v>4820754.3599999994</v>
      </c>
      <c r="D53" s="18">
        <f t="shared" si="6"/>
        <v>7723724.6400000006</v>
      </c>
      <c r="E53" s="19">
        <f t="shared" si="8"/>
        <v>61.570708835337051</v>
      </c>
    </row>
    <row r="54" spans="1:5" ht="15" customHeight="1" x14ac:dyDescent="0.3">
      <c r="A54" s="17" t="s">
        <v>53</v>
      </c>
      <c r="B54" s="18">
        <f>[36]SCF!C50</f>
        <v>9210000</v>
      </c>
      <c r="C54" s="18">
        <v>1878748.9100000001</v>
      </c>
      <c r="D54" s="18">
        <f t="shared" si="6"/>
        <v>7331251.0899999999</v>
      </c>
      <c r="E54" s="19">
        <f t="shared" si="8"/>
        <v>79.600989033659062</v>
      </c>
    </row>
    <row r="55" spans="1:5" ht="15" customHeight="1" x14ac:dyDescent="0.3">
      <c r="A55" s="17" t="s">
        <v>54</v>
      </c>
      <c r="B55" s="18">
        <f>[36]SCF!C51</f>
        <v>4120000</v>
      </c>
      <c r="C55" s="18">
        <v>1140000</v>
      </c>
      <c r="D55" s="18">
        <f t="shared" si="6"/>
        <v>2980000</v>
      </c>
      <c r="E55" s="19">
        <f t="shared" si="8"/>
        <v>72.330097087378647</v>
      </c>
    </row>
    <row r="56" spans="1:5" ht="15" customHeight="1" x14ac:dyDescent="0.3">
      <c r="A56" s="17" t="s">
        <v>55</v>
      </c>
      <c r="B56" s="18">
        <f>[36]SCF!C52</f>
        <v>3156000</v>
      </c>
      <c r="C56" s="18">
        <v>1321315.9099999999</v>
      </c>
      <c r="D56" s="18">
        <f t="shared" si="6"/>
        <v>1834684.09</v>
      </c>
      <c r="E56" s="19">
        <f t="shared" si="8"/>
        <v>58.133209442332067</v>
      </c>
    </row>
    <row r="57" spans="1:5" ht="15" customHeight="1" x14ac:dyDescent="0.3">
      <c r="A57" s="17" t="s">
        <v>56</v>
      </c>
      <c r="B57" s="18">
        <f>[36]SCF!C53</f>
        <v>14192000</v>
      </c>
      <c r="C57" s="18">
        <v>4904339.29</v>
      </c>
      <c r="D57" s="18">
        <f t="shared" si="6"/>
        <v>9287660.7100000009</v>
      </c>
      <c r="E57" s="19">
        <f t="shared" si="8"/>
        <v>65.442930594701238</v>
      </c>
    </row>
    <row r="58" spans="1:5" ht="15" customHeight="1" x14ac:dyDescent="0.3">
      <c r="A58" s="17" t="s">
        <v>57</v>
      </c>
      <c r="B58" s="18">
        <f>[36]SCF!C54</f>
        <v>3316000</v>
      </c>
      <c r="C58" s="18">
        <v>748408.02</v>
      </c>
      <c r="D58" s="18">
        <f t="shared" si="6"/>
        <v>2567591.98</v>
      </c>
      <c r="E58" s="19">
        <f t="shared" si="8"/>
        <v>77.4303974668275</v>
      </c>
    </row>
    <row r="59" spans="1:5" ht="15" customHeight="1" x14ac:dyDescent="0.3">
      <c r="A59" s="17" t="s">
        <v>58</v>
      </c>
      <c r="B59" s="18">
        <f>[36]SCF!C55</f>
        <v>29680600</v>
      </c>
      <c r="C59" s="18">
        <v>6164230.4499999993</v>
      </c>
      <c r="D59" s="18">
        <f t="shared" si="6"/>
        <v>23516369.550000001</v>
      </c>
      <c r="E59" s="19">
        <f t="shared" si="8"/>
        <v>79.231449330539135</v>
      </c>
    </row>
    <row r="60" spans="1:5" ht="15" customHeight="1" x14ac:dyDescent="0.3">
      <c r="A60" s="17" t="s">
        <v>59</v>
      </c>
      <c r="B60" s="18">
        <f>[36]SCF!C56</f>
        <v>1813547</v>
      </c>
      <c r="C60" s="18">
        <v>214.24</v>
      </c>
      <c r="D60" s="18">
        <f t="shared" si="6"/>
        <v>1813332.76</v>
      </c>
      <c r="E60" s="19">
        <f t="shared" si="8"/>
        <v>99.988186686090856</v>
      </c>
    </row>
    <row r="61" spans="1:5" ht="15" customHeight="1" x14ac:dyDescent="0.3">
      <c r="A61" s="17" t="s">
        <v>60</v>
      </c>
      <c r="B61" s="18">
        <f>[36]SCF!C57</f>
        <v>5989000</v>
      </c>
      <c r="C61" s="18">
        <v>2160052.58</v>
      </c>
      <c r="D61" s="18">
        <f t="shared" si="6"/>
        <v>3828947.42</v>
      </c>
      <c r="E61" s="19">
        <f t="shared" si="8"/>
        <v>63.933000834863918</v>
      </c>
    </row>
    <row r="62" spans="1:5" ht="15" customHeight="1" x14ac:dyDescent="0.3">
      <c r="A62" s="10" t="s">
        <v>61</v>
      </c>
      <c r="B62" s="11" t="s">
        <v>15</v>
      </c>
      <c r="C62" s="18"/>
      <c r="D62" s="11" t="s">
        <v>15</v>
      </c>
      <c r="E62" s="13" t="s">
        <v>15</v>
      </c>
    </row>
    <row r="63" spans="1:5" x14ac:dyDescent="0.3">
      <c r="A63" s="24" t="s">
        <v>62</v>
      </c>
      <c r="B63" s="18">
        <f>[36]SCF!C60</f>
        <v>42449301</v>
      </c>
      <c r="C63" s="18">
        <v>12922773</v>
      </c>
      <c r="D63" s="18">
        <f t="shared" ref="D63:D67" si="9">C63-B63</f>
        <v>-29526528</v>
      </c>
      <c r="E63" s="19">
        <f t="shared" ref="E63:E67" si="10">IFERROR(+D63/B63*100,0)</f>
        <v>-69.5571594924496</v>
      </c>
    </row>
    <row r="64" spans="1:5" x14ac:dyDescent="0.3">
      <c r="A64" s="24" t="s">
        <v>63</v>
      </c>
      <c r="B64" s="18">
        <f>[36]SCF!C61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64</v>
      </c>
      <c r="B65" s="18">
        <f>[36]SCF!C62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65</v>
      </c>
      <c r="B66" s="18">
        <f>[36]SCF!C63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66</v>
      </c>
      <c r="B67" s="18">
        <f>[36]SCF!C64</f>
        <v>0</v>
      </c>
      <c r="C67" s="18">
        <v>76228191.060000002</v>
      </c>
      <c r="D67" s="18">
        <f t="shared" si="9"/>
        <v>76228191.060000002</v>
      </c>
      <c r="E67" s="19">
        <f t="shared" si="10"/>
        <v>0</v>
      </c>
    </row>
    <row r="68" spans="1:5" ht="15" customHeight="1" x14ac:dyDescent="0.3">
      <c r="A68" s="30" t="s">
        <v>67</v>
      </c>
      <c r="B68" s="15">
        <f>+B63+B64+B65+B66+B67</f>
        <v>42449301</v>
      </c>
      <c r="C68" s="31">
        <v>89150964.060000002</v>
      </c>
      <c r="D68" s="31">
        <f t="shared" ref="D68" si="11">+C68-B68</f>
        <v>46701663.060000002</v>
      </c>
      <c r="E68" s="32">
        <f t="shared" ref="E68" si="12">+D68/B68*100</f>
        <v>110.01750785012928</v>
      </c>
    </row>
    <row r="69" spans="1:5" ht="15" customHeight="1" x14ac:dyDescent="0.3">
      <c r="A69" s="10" t="s">
        <v>68</v>
      </c>
      <c r="B69" s="11" t="s">
        <v>15</v>
      </c>
      <c r="C69" s="12" t="s">
        <v>15</v>
      </c>
      <c r="D69" s="11" t="s">
        <v>15</v>
      </c>
      <c r="E69" s="13" t="s">
        <v>15</v>
      </c>
    </row>
    <row r="70" spans="1:5" ht="15" customHeight="1" x14ac:dyDescent="0.3">
      <c r="A70" s="14" t="s">
        <v>69</v>
      </c>
      <c r="B70" s="15">
        <f>[36]SCF!C67</f>
        <v>83938495.590000004</v>
      </c>
      <c r="C70" s="15">
        <v>33513369.77</v>
      </c>
      <c r="D70" s="15">
        <f t="shared" ref="D70:D82" si="13">+C70-B70</f>
        <v>-50425125.820000008</v>
      </c>
      <c r="E70" s="16">
        <f t="shared" ref="E70:E82" si="14">+D70/B70*100</f>
        <v>-60.073897519325328</v>
      </c>
    </row>
    <row r="71" spans="1:5" ht="15" customHeight="1" x14ac:dyDescent="0.3">
      <c r="A71" s="17" t="s">
        <v>20</v>
      </c>
      <c r="B71" s="18">
        <f>[36]SCF!C68</f>
        <v>65158892.5</v>
      </c>
      <c r="C71" s="18">
        <v>26017177.27</v>
      </c>
      <c r="D71" s="18">
        <f t="shared" si="13"/>
        <v>-39141715.230000004</v>
      </c>
      <c r="E71" s="19">
        <f t="shared" ref="E71:E81" si="15">IFERROR(+D71/B71*100,0)</f>
        <v>-60.07117943264614</v>
      </c>
    </row>
    <row r="72" spans="1:5" ht="15" customHeight="1" x14ac:dyDescent="0.3">
      <c r="A72" s="17" t="s">
        <v>21</v>
      </c>
      <c r="B72" s="18">
        <f>[36]SCF!C69</f>
        <v>717423.04</v>
      </c>
      <c r="C72" s="18">
        <v>286510.11</v>
      </c>
      <c r="D72" s="18">
        <f t="shared" si="13"/>
        <v>-430912.93000000005</v>
      </c>
      <c r="E72" s="19">
        <f t="shared" si="15"/>
        <v>-60.063993763010458</v>
      </c>
    </row>
    <row r="73" spans="1:5" ht="15" customHeight="1" x14ac:dyDescent="0.3">
      <c r="A73" s="17" t="s">
        <v>22</v>
      </c>
      <c r="B73" s="18">
        <f>[36]SCF!C70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70</v>
      </c>
      <c r="B74" s="18">
        <f>[36]SCF!C71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24</v>
      </c>
      <c r="B75" s="18">
        <f>[36]SCF!C72</f>
        <v>18062180.050000001</v>
      </c>
      <c r="C75" s="18">
        <v>7209682.3899999997</v>
      </c>
      <c r="D75" s="18">
        <f t="shared" si="13"/>
        <v>-10852497.66</v>
      </c>
      <c r="E75" s="19">
        <f t="shared" si="15"/>
        <v>-60.084096327010094</v>
      </c>
    </row>
    <row r="76" spans="1:5" ht="15" customHeight="1" x14ac:dyDescent="0.3">
      <c r="A76" s="17" t="s">
        <v>25</v>
      </c>
      <c r="B76" s="18">
        <f>[36]SCF!C73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71</v>
      </c>
      <c r="B77" s="18">
        <f>[36]SCF!C74</f>
        <v>41483932.210000001</v>
      </c>
      <c r="C77" s="18">
        <v>1661659.5400000003</v>
      </c>
      <c r="D77" s="18">
        <f t="shared" ref="D77:D81" si="16">C77-B77</f>
        <v>-39822272.670000002</v>
      </c>
      <c r="E77" s="19">
        <f t="shared" si="15"/>
        <v>-95.994450257057736</v>
      </c>
    </row>
    <row r="78" spans="1:5" x14ac:dyDescent="0.3">
      <c r="A78" s="24" t="s">
        <v>72</v>
      </c>
      <c r="B78" s="18">
        <f>[36]SCF!C75</f>
        <v>389935965</v>
      </c>
      <c r="C78" s="18">
        <v>26215614.119999997</v>
      </c>
      <c r="D78" s="18">
        <f t="shared" si="16"/>
        <v>-363720350.88</v>
      </c>
      <c r="E78" s="19">
        <f t="shared" si="15"/>
        <v>-93.276943787424173</v>
      </c>
    </row>
    <row r="79" spans="1:5" ht="15" customHeight="1" x14ac:dyDescent="0.3">
      <c r="A79" s="24" t="s">
        <v>73</v>
      </c>
      <c r="B79" s="18">
        <f>[36]SCF!C76</f>
        <v>0</v>
      </c>
      <c r="C79" s="18">
        <v>5837426.3200000003</v>
      </c>
      <c r="D79" s="18">
        <f t="shared" si="16"/>
        <v>5837426.3200000003</v>
      </c>
      <c r="E79" s="19">
        <f t="shared" si="15"/>
        <v>0</v>
      </c>
    </row>
    <row r="80" spans="1:5" x14ac:dyDescent="0.3">
      <c r="A80" s="24" t="s">
        <v>74</v>
      </c>
      <c r="B80" s="18">
        <f>[36]SCF!C77</f>
        <v>0</v>
      </c>
      <c r="C80" s="18">
        <v>774192</v>
      </c>
      <c r="D80" s="18">
        <f t="shared" si="16"/>
        <v>774192</v>
      </c>
      <c r="E80" s="19">
        <f t="shared" si="15"/>
        <v>0</v>
      </c>
    </row>
    <row r="81" spans="1:5" x14ac:dyDescent="0.3">
      <c r="A81" s="24" t="s">
        <v>75</v>
      </c>
      <c r="B81" s="18">
        <f>[36]SCF!C78</f>
        <v>0</v>
      </c>
      <c r="C81" s="18">
        <v>283304963.83999997</v>
      </c>
      <c r="D81" s="18">
        <f t="shared" si="16"/>
        <v>283304963.83999997</v>
      </c>
      <c r="E81" s="19">
        <f t="shared" si="15"/>
        <v>0</v>
      </c>
    </row>
    <row r="82" spans="1:5" ht="15" customHeight="1" x14ac:dyDescent="0.3">
      <c r="A82" s="30" t="s">
        <v>76</v>
      </c>
      <c r="B82" s="15">
        <f>+B70+B77+B78+B79+B80+B81</f>
        <v>515358392.80000001</v>
      </c>
      <c r="C82" s="31">
        <v>351307225.58999997</v>
      </c>
      <c r="D82" s="31">
        <f t="shared" si="13"/>
        <v>-164051167.21000004</v>
      </c>
      <c r="E82" s="32">
        <f t="shared" si="14"/>
        <v>-31.832443111810331</v>
      </c>
    </row>
    <row r="83" spans="1:5" ht="15" customHeight="1" x14ac:dyDescent="0.3">
      <c r="A83" s="10" t="s">
        <v>77</v>
      </c>
      <c r="B83" s="11" t="s">
        <v>15</v>
      </c>
      <c r="C83" s="12" t="s">
        <v>15</v>
      </c>
      <c r="D83" s="11" t="s">
        <v>15</v>
      </c>
      <c r="E83" s="13" t="s">
        <v>15</v>
      </c>
    </row>
    <row r="84" spans="1:5" ht="15" customHeight="1" x14ac:dyDescent="0.3">
      <c r="A84" s="24" t="s">
        <v>78</v>
      </c>
      <c r="B84" s="18">
        <f>[36]SCF!C81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79</v>
      </c>
      <c r="B85" s="18">
        <f>[36]SCF!C82</f>
        <v>610314289</v>
      </c>
      <c r="C85" s="18">
        <v>86317436.079999998</v>
      </c>
      <c r="D85" s="18">
        <f t="shared" si="17"/>
        <v>-523996852.92000002</v>
      </c>
      <c r="E85" s="19">
        <f t="shared" si="18"/>
        <v>-85.856887568300081</v>
      </c>
    </row>
    <row r="86" spans="1:5" ht="15" customHeight="1" x14ac:dyDescent="0.3">
      <c r="A86" s="24" t="s">
        <v>80</v>
      </c>
      <c r="B86" s="18">
        <f>[36]SCF!C83</f>
        <v>73057750</v>
      </c>
      <c r="C86" s="18">
        <v>20150755.140000001</v>
      </c>
      <c r="D86" s="18">
        <f t="shared" si="17"/>
        <v>-52906994.859999999</v>
      </c>
      <c r="E86" s="19">
        <f t="shared" si="18"/>
        <v>-72.418045806228633</v>
      </c>
    </row>
    <row r="87" spans="1:5" ht="15" customHeight="1" x14ac:dyDescent="0.3">
      <c r="A87" s="30" t="s">
        <v>81</v>
      </c>
      <c r="B87" s="33">
        <f>+B84+B85+B86</f>
        <v>683372039</v>
      </c>
      <c r="C87" s="31">
        <v>106468191.22</v>
      </c>
      <c r="D87" s="31">
        <f t="shared" si="17"/>
        <v>-576903847.77999997</v>
      </c>
      <c r="E87" s="32">
        <f>+D87/B87*100</f>
        <v>-84.420171569237993</v>
      </c>
    </row>
    <row r="88" spans="1:5" ht="18" customHeight="1" x14ac:dyDescent="0.3">
      <c r="A88" s="25" t="s">
        <v>82</v>
      </c>
      <c r="B88" s="27">
        <f>+B45+B46+B68+B82+B87</f>
        <v>6336762733.8000002</v>
      </c>
      <c r="C88" s="27">
        <v>2708896190.7999997</v>
      </c>
      <c r="D88" s="27">
        <f t="shared" si="17"/>
        <v>-3627866543.0000005</v>
      </c>
      <c r="E88" s="28">
        <f>+D88/B88*100</f>
        <v>-57.251102738139892</v>
      </c>
    </row>
    <row r="89" spans="1:5" x14ac:dyDescent="0.3">
      <c r="A89" s="29" t="s">
        <v>15</v>
      </c>
      <c r="B89" s="3"/>
      <c r="C89" s="3"/>
      <c r="D89" s="3"/>
      <c r="E89" s="3"/>
    </row>
    <row r="90" spans="1:5" ht="15" customHeight="1" x14ac:dyDescent="0.3">
      <c r="A90" s="10" t="s">
        <v>83</v>
      </c>
      <c r="B90" s="11" t="s">
        <v>15</v>
      </c>
      <c r="C90" s="12" t="s">
        <v>15</v>
      </c>
      <c r="D90" s="11" t="s">
        <v>15</v>
      </c>
      <c r="E90" s="13" t="s">
        <v>15</v>
      </c>
    </row>
    <row r="91" spans="1:5" x14ac:dyDescent="0.3">
      <c r="A91" s="24" t="s">
        <v>84</v>
      </c>
      <c r="B91" s="18">
        <f>[36]SCF!C88</f>
        <v>743682108</v>
      </c>
      <c r="C91" s="18">
        <v>66432993.490000002</v>
      </c>
      <c r="D91" s="18">
        <f t="shared" ref="D91:D98" si="19">+C91-B91</f>
        <v>-677249114.50999999</v>
      </c>
      <c r="E91" s="19">
        <f>IFERROR(+D91/B91*100,0)</f>
        <v>-91.067017375386413</v>
      </c>
    </row>
    <row r="92" spans="1:5" ht="15" customHeight="1" x14ac:dyDescent="0.3">
      <c r="A92" s="24" t="s">
        <v>85</v>
      </c>
      <c r="B92" s="18">
        <f>[36]SCF!C89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86</v>
      </c>
      <c r="B93" s="18">
        <f>[36]SCF!C90</f>
        <v>49000000</v>
      </c>
      <c r="C93" s="18">
        <v>21005051</v>
      </c>
      <c r="D93" s="18">
        <f t="shared" si="19"/>
        <v>-27994949</v>
      </c>
      <c r="E93" s="19">
        <f t="shared" si="20"/>
        <v>-57.132548979591832</v>
      </c>
    </row>
    <row r="94" spans="1:5" ht="15" customHeight="1" x14ac:dyDescent="0.3">
      <c r="A94" s="24" t="s">
        <v>87</v>
      </c>
      <c r="B94" s="18">
        <f>[36]SCF!C91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88</v>
      </c>
      <c r="B95" s="18">
        <f>[36]SCF!C92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89</v>
      </c>
      <c r="B96" s="18">
        <f>[36]SCF!C93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90</v>
      </c>
      <c r="B97" s="18">
        <f>[36]SCF!C94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91</v>
      </c>
      <c r="B98" s="33">
        <f>SUM(B91:B97)</f>
        <v>792682108</v>
      </c>
      <c r="C98" s="31">
        <v>87438044.49000001</v>
      </c>
      <c r="D98" s="31">
        <f t="shared" si="19"/>
        <v>-705244063.50999999</v>
      </c>
      <c r="E98" s="32">
        <f t="shared" ref="E98" si="21">+D98/B98*100</f>
        <v>-88.969342992916395</v>
      </c>
    </row>
    <row r="99" spans="1:5" ht="15" customHeight="1" x14ac:dyDescent="0.3">
      <c r="A99" s="34" t="s">
        <v>92</v>
      </c>
      <c r="B99" s="35">
        <f>+B42-B88-B98</f>
        <v>399632323</v>
      </c>
      <c r="C99" s="36">
        <v>8801918.8700006008</v>
      </c>
      <c r="D99" s="37" t="s">
        <v>15</v>
      </c>
      <c r="E99" s="38" t="s">
        <v>15</v>
      </c>
    </row>
    <row r="100" spans="1:5" ht="15" customHeight="1" x14ac:dyDescent="0.3">
      <c r="A100" s="39" t="s">
        <v>93</v>
      </c>
      <c r="B100" s="18">
        <f>[36]SCF!$C$97</f>
        <v>258544485</v>
      </c>
      <c r="C100" s="18">
        <v>401314801.51999998</v>
      </c>
      <c r="D100" s="40" t="s">
        <v>15</v>
      </c>
      <c r="E100" s="41" t="s">
        <v>15</v>
      </c>
    </row>
    <row r="101" spans="1:5" ht="15" customHeight="1" x14ac:dyDescent="0.3">
      <c r="A101" s="34" t="s">
        <v>94</v>
      </c>
      <c r="B101" s="35">
        <f>B99+B100</f>
        <v>658176808</v>
      </c>
      <c r="C101" s="36">
        <v>410116720.39000058</v>
      </c>
      <c r="D101" s="42" t="s">
        <v>15</v>
      </c>
      <c r="E101" s="43" t="s">
        <v>15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TARELCO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+[37]SCF!$C$2</f>
        <v>TARELCO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14</v>
      </c>
      <c r="B15" s="11" t="s">
        <v>15</v>
      </c>
      <c r="C15" s="12" t="s">
        <v>15</v>
      </c>
      <c r="D15" s="11" t="s">
        <v>15</v>
      </c>
      <c r="E15" s="13" t="s">
        <v>15</v>
      </c>
    </row>
    <row r="16" spans="1:5" ht="15" customHeight="1" x14ac:dyDescent="0.3">
      <c r="A16" s="14" t="s">
        <v>16</v>
      </c>
      <c r="B16" s="15">
        <f>[37]SCF!C12</f>
        <v>5574009195.9899998</v>
      </c>
      <c r="C16" s="15">
        <v>2490613163.9500003</v>
      </c>
      <c r="D16" s="15">
        <f>+C16-B16</f>
        <v>-3083396032.0399995</v>
      </c>
      <c r="E16" s="16">
        <f t="shared" ref="E16:E42" si="0">+D16/B16*100</f>
        <v>-55.317383298510279</v>
      </c>
    </row>
    <row r="17" spans="1:5" ht="15" customHeight="1" x14ac:dyDescent="0.3">
      <c r="A17" s="17" t="s">
        <v>17</v>
      </c>
      <c r="B17" s="18">
        <f>[37]SCF!C13</f>
        <v>5253878217</v>
      </c>
      <c r="C17" s="18">
        <v>2338365950.3099999</v>
      </c>
      <c r="D17" s="18">
        <f t="shared" ref="D17:D42" si="1">+C17-B17</f>
        <v>-2915512266.6900001</v>
      </c>
      <c r="E17" s="19">
        <f t="shared" ref="E17:E18" si="2">IFERROR(+D17/B17*100,0)</f>
        <v>-55.492574176086961</v>
      </c>
    </row>
    <row r="18" spans="1:5" ht="15" customHeight="1" x14ac:dyDescent="0.3">
      <c r="A18" s="17" t="s">
        <v>18</v>
      </c>
      <c r="B18" s="18">
        <f>[37]SCF!C14</f>
        <v>123771778</v>
      </c>
      <c r="C18" s="18">
        <v>56625523.560000002</v>
      </c>
      <c r="D18" s="18">
        <f t="shared" si="1"/>
        <v>-67146254.439999998</v>
      </c>
      <c r="E18" s="19">
        <f t="shared" si="2"/>
        <v>-54.250052415018224</v>
      </c>
    </row>
    <row r="19" spans="1:5" ht="15" customHeight="1" x14ac:dyDescent="0.3">
      <c r="A19" s="20" t="s">
        <v>19</v>
      </c>
      <c r="B19" s="15">
        <f>[37]SCF!C15</f>
        <v>160716662.99000001</v>
      </c>
      <c r="C19" s="21">
        <v>57951328.009999998</v>
      </c>
      <c r="D19" s="21">
        <f t="shared" si="1"/>
        <v>-102765334.98000002</v>
      </c>
      <c r="E19" s="22">
        <f t="shared" si="0"/>
        <v>-63.941929273627473</v>
      </c>
    </row>
    <row r="20" spans="1:5" ht="15" customHeight="1" x14ac:dyDescent="0.3">
      <c r="A20" s="23" t="s">
        <v>20</v>
      </c>
      <c r="B20" s="18">
        <f>[37]SCF!C16</f>
        <v>85752144.450000003</v>
      </c>
      <c r="C20" s="18">
        <v>36253424.390000001</v>
      </c>
      <c r="D20" s="18">
        <f t="shared" si="1"/>
        <v>-49498720.060000002</v>
      </c>
      <c r="E20" s="19">
        <f t="shared" ref="E20:E28" si="3">IFERROR(+D20/B20*100,0)</f>
        <v>-57.723011333974874</v>
      </c>
    </row>
    <row r="21" spans="1:5" ht="15" customHeight="1" x14ac:dyDescent="0.3">
      <c r="A21" s="23" t="s">
        <v>21</v>
      </c>
      <c r="B21" s="18">
        <f>[37]SCF!C17</f>
        <v>817603.19</v>
      </c>
      <c r="C21" s="18">
        <v>0</v>
      </c>
      <c r="D21" s="18">
        <f t="shared" si="1"/>
        <v>-817603.19</v>
      </c>
      <c r="E21" s="19">
        <f t="shared" si="3"/>
        <v>-100</v>
      </c>
    </row>
    <row r="22" spans="1:5" ht="15" customHeight="1" x14ac:dyDescent="0.3">
      <c r="A22" s="23" t="s">
        <v>22</v>
      </c>
      <c r="B22" s="18">
        <f>[37]SCF!C18</f>
        <v>0</v>
      </c>
      <c r="C22" s="18">
        <v>199.92</v>
      </c>
      <c r="D22" s="18">
        <f t="shared" si="1"/>
        <v>199.92</v>
      </c>
      <c r="E22" s="19">
        <f t="shared" si="3"/>
        <v>0</v>
      </c>
    </row>
    <row r="23" spans="1:5" ht="15" customHeight="1" x14ac:dyDescent="0.3">
      <c r="A23" s="23" t="s">
        <v>23</v>
      </c>
      <c r="B23" s="18">
        <f>[37]SCF!C19</f>
        <v>0</v>
      </c>
      <c r="C23" s="18">
        <v>5170.32</v>
      </c>
      <c r="D23" s="18">
        <f t="shared" si="1"/>
        <v>5170.32</v>
      </c>
      <c r="E23" s="19">
        <f t="shared" si="3"/>
        <v>0</v>
      </c>
    </row>
    <row r="24" spans="1:5" ht="15" customHeight="1" x14ac:dyDescent="0.3">
      <c r="A24" s="23" t="s">
        <v>24</v>
      </c>
      <c r="B24" s="18">
        <f>[37]SCF!C20</f>
        <v>20584362.16</v>
      </c>
      <c r="C24" s="18">
        <v>8332223.4400000004</v>
      </c>
      <c r="D24" s="18">
        <f t="shared" si="1"/>
        <v>-12252138.719999999</v>
      </c>
      <c r="E24" s="19">
        <f t="shared" si="3"/>
        <v>-59.521585486912166</v>
      </c>
    </row>
    <row r="25" spans="1:5" ht="15" customHeight="1" x14ac:dyDescent="0.3">
      <c r="A25" s="23" t="s">
        <v>25</v>
      </c>
      <c r="B25" s="18">
        <f>[37]SCF!C21</f>
        <v>53562553.189999998</v>
      </c>
      <c r="C25" s="18">
        <v>13360309.939999999</v>
      </c>
      <c r="D25" s="18">
        <f t="shared" si="1"/>
        <v>-40202243.25</v>
      </c>
      <c r="E25" s="19">
        <f t="shared" si="3"/>
        <v>-75.056622314833305</v>
      </c>
    </row>
    <row r="26" spans="1:5" ht="15" customHeight="1" x14ac:dyDescent="0.3">
      <c r="A26" s="17" t="s">
        <v>26</v>
      </c>
      <c r="B26" s="18">
        <f>[37]SCF!C22</f>
        <v>35642538</v>
      </c>
      <c r="C26" s="18">
        <v>577315.17000000004</v>
      </c>
      <c r="D26" s="18">
        <f t="shared" si="1"/>
        <v>-35065222.829999998</v>
      </c>
      <c r="E26" s="19">
        <f t="shared" si="3"/>
        <v>-98.380263577189695</v>
      </c>
    </row>
    <row r="27" spans="1:5" ht="15" customHeight="1" x14ac:dyDescent="0.3">
      <c r="A27" s="17" t="s">
        <v>27</v>
      </c>
      <c r="B27" s="18">
        <f>[37]SCF!C23</f>
        <v>0</v>
      </c>
      <c r="C27" s="18">
        <v>37093046.900000006</v>
      </c>
      <c r="D27" s="18">
        <f t="shared" si="1"/>
        <v>37093046.900000006</v>
      </c>
      <c r="E27" s="19">
        <f t="shared" si="3"/>
        <v>0</v>
      </c>
    </row>
    <row r="28" spans="1:5" ht="15" customHeight="1" x14ac:dyDescent="0.3">
      <c r="A28" s="17" t="s">
        <v>28</v>
      </c>
      <c r="B28" s="18">
        <f>[37]SCF!C24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29</v>
      </c>
      <c r="B29" s="15">
        <f>[37]SCF!C25</f>
        <v>40000000</v>
      </c>
      <c r="C29" s="15">
        <v>29320833.57</v>
      </c>
      <c r="D29" s="15">
        <f t="shared" si="1"/>
        <v>-10679166.43</v>
      </c>
      <c r="E29" s="16">
        <f t="shared" si="0"/>
        <v>-26.697916074999998</v>
      </c>
    </row>
    <row r="30" spans="1:5" ht="15" customHeight="1" x14ac:dyDescent="0.3">
      <c r="A30" s="17" t="s">
        <v>30</v>
      </c>
      <c r="B30" s="18">
        <f>[37]SCF!C26</f>
        <v>20000000</v>
      </c>
      <c r="C30" s="18">
        <v>11952372.940000001</v>
      </c>
      <c r="D30" s="18">
        <f t="shared" si="1"/>
        <v>-8047627.0599999987</v>
      </c>
      <c r="E30" s="19">
        <f t="shared" ref="E30:E32" si="4">IFERROR(+D30/B30*100,0)</f>
        <v>-40.238135299999996</v>
      </c>
    </row>
    <row r="31" spans="1:5" ht="15" customHeight="1" x14ac:dyDescent="0.3">
      <c r="A31" s="17" t="s">
        <v>31</v>
      </c>
      <c r="B31" s="18">
        <f>[37]SCF!C27</f>
        <v>20000000</v>
      </c>
      <c r="C31" s="18">
        <v>17368460.629999999</v>
      </c>
      <c r="D31" s="18">
        <f t="shared" si="1"/>
        <v>-2631539.370000001</v>
      </c>
      <c r="E31" s="19">
        <f t="shared" si="4"/>
        <v>-13.157696850000006</v>
      </c>
    </row>
    <row r="32" spans="1:5" x14ac:dyDescent="0.3">
      <c r="A32" s="17" t="s">
        <v>32</v>
      </c>
      <c r="B32" s="18">
        <f>[37]SCF!C28</f>
        <v>0</v>
      </c>
      <c r="C32" s="18">
        <v>0</v>
      </c>
      <c r="D32" s="18">
        <f t="shared" si="1"/>
        <v>0</v>
      </c>
      <c r="E32" s="19">
        <f t="shared" si="4"/>
        <v>0</v>
      </c>
    </row>
    <row r="33" spans="1:5" x14ac:dyDescent="0.3">
      <c r="A33" s="14" t="s">
        <v>33</v>
      </c>
      <c r="B33" s="15">
        <f>[37]SCF!C29</f>
        <v>0</v>
      </c>
      <c r="C33" s="15">
        <v>0</v>
      </c>
      <c r="D33" s="15">
        <f t="shared" si="1"/>
        <v>0</v>
      </c>
      <c r="E33" s="16" t="e">
        <f t="shared" si="0"/>
        <v>#DIV/0!</v>
      </c>
    </row>
    <row r="34" spans="1:5" ht="15" customHeight="1" x14ac:dyDescent="0.3">
      <c r="A34" s="17" t="s">
        <v>34</v>
      </c>
      <c r="B34" s="18">
        <f>[37]SCF!C30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35</v>
      </c>
      <c r="B35" s="18">
        <f>[37]SCF!C31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36</v>
      </c>
      <c r="B36" s="18">
        <f>[37]SCF!C32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37</v>
      </c>
      <c r="B37" s="18">
        <f>[37]SCF!C33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38</v>
      </c>
      <c r="B38" s="18">
        <f>[37]SCF!C34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39</v>
      </c>
      <c r="B39" s="18">
        <f>[37]SCF!C35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40</v>
      </c>
      <c r="B40" s="18">
        <f>[37]SCF!C36</f>
        <v>0</v>
      </c>
      <c r="C40" s="18">
        <v>6083338.2200000025</v>
      </c>
      <c r="D40" s="18">
        <f t="shared" si="1"/>
        <v>6083338.2200000025</v>
      </c>
      <c r="E40" s="19">
        <f t="shared" si="5"/>
        <v>0</v>
      </c>
    </row>
    <row r="41" spans="1:5" ht="15" customHeight="1" x14ac:dyDescent="0.3">
      <c r="A41" s="24" t="s">
        <v>41</v>
      </c>
      <c r="B41" s="18">
        <f>[37]SCF!C37</f>
        <v>640143571</v>
      </c>
      <c r="C41" s="18">
        <v>10852811.580000008</v>
      </c>
      <c r="D41" s="18">
        <f t="shared" si="1"/>
        <v>-629290759.41999996</v>
      </c>
      <c r="E41" s="19">
        <f t="shared" si="5"/>
        <v>-98.304628512780923</v>
      </c>
    </row>
    <row r="42" spans="1:5" ht="15" customHeight="1" x14ac:dyDescent="0.3">
      <c r="A42" s="25" t="s">
        <v>42</v>
      </c>
      <c r="B42" s="26">
        <f>[37]SCF!C38</f>
        <v>6254152766.9899998</v>
      </c>
      <c r="C42" s="27">
        <v>2536870147.3200002</v>
      </c>
      <c r="D42" s="27">
        <f t="shared" si="1"/>
        <v>-3717282619.6699996</v>
      </c>
      <c r="E42" s="28">
        <f t="shared" si="0"/>
        <v>-59.437029413322982</v>
      </c>
    </row>
    <row r="43" spans="1:5" ht="18" customHeight="1" x14ac:dyDescent="0.3">
      <c r="A43" s="29" t="s">
        <v>15</v>
      </c>
      <c r="B43" s="3"/>
      <c r="C43" s="3"/>
      <c r="D43" s="3"/>
      <c r="E43" s="3"/>
    </row>
    <row r="44" spans="1:5" ht="15" customHeight="1" x14ac:dyDescent="0.3">
      <c r="A44" s="10" t="s">
        <v>43</v>
      </c>
      <c r="B44" s="11" t="s">
        <v>15</v>
      </c>
      <c r="C44" s="12" t="s">
        <v>15</v>
      </c>
      <c r="D44" s="11" t="s">
        <v>15</v>
      </c>
      <c r="E44" s="13" t="s">
        <v>15</v>
      </c>
    </row>
    <row r="45" spans="1:5" ht="15" customHeight="1" x14ac:dyDescent="0.3">
      <c r="A45" s="24" t="s">
        <v>44</v>
      </c>
      <c r="B45" s="18">
        <f>[37]SCF!C41</f>
        <v>4660695264</v>
      </c>
      <c r="C45" s="18">
        <v>1940327074.6899998</v>
      </c>
      <c r="D45" s="18">
        <f>C45-B45</f>
        <v>-2720368189.3100004</v>
      </c>
      <c r="E45" s="19">
        <f>IFERROR(+D45/B45*100,0)</f>
        <v>-58.368291321738738</v>
      </c>
    </row>
    <row r="46" spans="1:5" ht="15" customHeight="1" x14ac:dyDescent="0.3">
      <c r="A46" s="14" t="s">
        <v>45</v>
      </c>
      <c r="B46" s="15">
        <f>[37]SCF!C42</f>
        <v>456187186.70999998</v>
      </c>
      <c r="C46" s="15">
        <v>166715745.02999997</v>
      </c>
      <c r="D46" s="15">
        <f t="shared" ref="D46:D61" si="6">+B46-C46</f>
        <v>289471441.68000001</v>
      </c>
      <c r="E46" s="16">
        <f t="shared" ref="E46" si="7">+D46/B46*100</f>
        <v>63.454531410155134</v>
      </c>
    </row>
    <row r="47" spans="1:5" ht="15" customHeight="1" x14ac:dyDescent="0.3">
      <c r="A47" s="17" t="s">
        <v>46</v>
      </c>
      <c r="B47" s="18">
        <f>[37]SCF!C43</f>
        <v>156698735.28</v>
      </c>
      <c r="C47" s="18">
        <v>69742795.419999987</v>
      </c>
      <c r="D47" s="18">
        <f t="shared" si="6"/>
        <v>86955939.860000014</v>
      </c>
      <c r="E47" s="19">
        <f t="shared" ref="E47:E61" si="8">IFERROR(+D47/B47*100,0)</f>
        <v>55.492432472171018</v>
      </c>
    </row>
    <row r="48" spans="1:5" ht="15" customHeight="1" x14ac:dyDescent="0.3">
      <c r="A48" s="17" t="s">
        <v>47</v>
      </c>
      <c r="B48" s="18">
        <f>[37]SCF!C44</f>
        <v>9031200</v>
      </c>
      <c r="C48" s="18">
        <v>4875958.62</v>
      </c>
      <c r="D48" s="18">
        <f t="shared" si="6"/>
        <v>4155241.38</v>
      </c>
      <c r="E48" s="19">
        <f t="shared" si="8"/>
        <v>46.009847860749403</v>
      </c>
    </row>
    <row r="49" spans="1:5" ht="15" customHeight="1" x14ac:dyDescent="0.3">
      <c r="A49" s="17" t="s">
        <v>48</v>
      </c>
      <c r="B49" s="18">
        <f>[37]SCF!C45</f>
        <v>59184044</v>
      </c>
      <c r="C49" s="18">
        <v>18759602.609999999</v>
      </c>
      <c r="D49" s="18">
        <f t="shared" si="6"/>
        <v>40424441.390000001</v>
      </c>
      <c r="E49" s="19">
        <f t="shared" si="8"/>
        <v>68.302938863048965</v>
      </c>
    </row>
    <row r="50" spans="1:5" ht="15" customHeight="1" x14ac:dyDescent="0.3">
      <c r="A50" s="17" t="s">
        <v>49</v>
      </c>
      <c r="B50" s="18">
        <f>[37]SCF!C46</f>
        <v>18420000</v>
      </c>
      <c r="C50" s="18">
        <v>2998869.1800000006</v>
      </c>
      <c r="D50" s="18">
        <f t="shared" si="6"/>
        <v>15421130.82</v>
      </c>
      <c r="E50" s="19">
        <f t="shared" si="8"/>
        <v>83.71949413680781</v>
      </c>
    </row>
    <row r="51" spans="1:5" ht="15" customHeight="1" x14ac:dyDescent="0.3">
      <c r="A51" s="17" t="s">
        <v>50</v>
      </c>
      <c r="B51" s="18">
        <f>[37]SCF!C47</f>
        <v>12524857.43</v>
      </c>
      <c r="C51" s="18">
        <v>3392173.4699999997</v>
      </c>
      <c r="D51" s="18">
        <f t="shared" si="6"/>
        <v>9132683.9600000009</v>
      </c>
      <c r="E51" s="19">
        <f t="shared" si="8"/>
        <v>72.916470395304145</v>
      </c>
    </row>
    <row r="52" spans="1:5" x14ac:dyDescent="0.3">
      <c r="A52" s="17" t="s">
        <v>51</v>
      </c>
      <c r="B52" s="18">
        <f>[37]SCF!C48</f>
        <v>5078950</v>
      </c>
      <c r="C52" s="18">
        <v>1185419.3400000001</v>
      </c>
      <c r="D52" s="18">
        <f t="shared" si="6"/>
        <v>3893530.66</v>
      </c>
      <c r="E52" s="19">
        <f t="shared" si="8"/>
        <v>76.660149440337079</v>
      </c>
    </row>
    <row r="53" spans="1:5" ht="15" customHeight="1" x14ac:dyDescent="0.3">
      <c r="A53" s="17" t="s">
        <v>52</v>
      </c>
      <c r="B53" s="18">
        <f>[37]SCF!C49</f>
        <v>12905500</v>
      </c>
      <c r="C53" s="18">
        <v>4790652.0199999996</v>
      </c>
      <c r="D53" s="18">
        <f t="shared" si="6"/>
        <v>8114847.9800000004</v>
      </c>
      <c r="E53" s="19">
        <f t="shared" si="8"/>
        <v>62.878989423114184</v>
      </c>
    </row>
    <row r="54" spans="1:5" ht="15" customHeight="1" x14ac:dyDescent="0.3">
      <c r="A54" s="17" t="s">
        <v>53</v>
      </c>
      <c r="B54" s="18">
        <f>[37]SCF!C50</f>
        <v>24000000</v>
      </c>
      <c r="C54" s="18">
        <v>3807108.3500000006</v>
      </c>
      <c r="D54" s="18">
        <f t="shared" si="6"/>
        <v>20192891.649999999</v>
      </c>
      <c r="E54" s="19">
        <f t="shared" si="8"/>
        <v>84.137048541666658</v>
      </c>
    </row>
    <row r="55" spans="1:5" ht="15" customHeight="1" x14ac:dyDescent="0.3">
      <c r="A55" s="17" t="s">
        <v>54</v>
      </c>
      <c r="B55" s="18">
        <f>[37]SCF!C51</f>
        <v>1440000</v>
      </c>
      <c r="C55" s="18">
        <v>718000</v>
      </c>
      <c r="D55" s="18">
        <f t="shared" si="6"/>
        <v>722000</v>
      </c>
      <c r="E55" s="19">
        <f t="shared" si="8"/>
        <v>50.138888888888886</v>
      </c>
    </row>
    <row r="56" spans="1:5" ht="15" customHeight="1" x14ac:dyDescent="0.3">
      <c r="A56" s="17" t="s">
        <v>55</v>
      </c>
      <c r="B56" s="18">
        <f>[37]SCF!C52</f>
        <v>3845400</v>
      </c>
      <c r="C56" s="18">
        <v>1698973.1800000002</v>
      </c>
      <c r="D56" s="18">
        <f t="shared" si="6"/>
        <v>2146426.8199999998</v>
      </c>
      <c r="E56" s="19">
        <f t="shared" si="8"/>
        <v>55.818037655380451</v>
      </c>
    </row>
    <row r="57" spans="1:5" ht="15" customHeight="1" x14ac:dyDescent="0.3">
      <c r="A57" s="17" t="s">
        <v>56</v>
      </c>
      <c r="B57" s="18">
        <f>[37]SCF!C53</f>
        <v>49202000</v>
      </c>
      <c r="C57" s="18">
        <v>21249561.07</v>
      </c>
      <c r="D57" s="18">
        <f t="shared" si="6"/>
        <v>27952438.93</v>
      </c>
      <c r="E57" s="19">
        <f t="shared" si="8"/>
        <v>56.811590849965441</v>
      </c>
    </row>
    <row r="58" spans="1:5" ht="15" customHeight="1" x14ac:dyDescent="0.3">
      <c r="A58" s="17" t="s">
        <v>57</v>
      </c>
      <c r="B58" s="18">
        <f>[37]SCF!C54</f>
        <v>8911700</v>
      </c>
      <c r="C58" s="18">
        <v>2312118.3400000003</v>
      </c>
      <c r="D58" s="18">
        <f t="shared" si="6"/>
        <v>6599581.6600000001</v>
      </c>
      <c r="E58" s="19">
        <f t="shared" si="8"/>
        <v>74.055249391249717</v>
      </c>
    </row>
    <row r="59" spans="1:5" ht="15" customHeight="1" x14ac:dyDescent="0.3">
      <c r="A59" s="17" t="s">
        <v>58</v>
      </c>
      <c r="B59" s="18">
        <f>[37]SCF!C55</f>
        <v>73941000</v>
      </c>
      <c r="C59" s="18">
        <v>21966979.670000002</v>
      </c>
      <c r="D59" s="18">
        <f t="shared" si="6"/>
        <v>51974020.329999998</v>
      </c>
      <c r="E59" s="19">
        <f t="shared" si="8"/>
        <v>70.291205596353848</v>
      </c>
    </row>
    <row r="60" spans="1:5" ht="15" customHeight="1" x14ac:dyDescent="0.3">
      <c r="A60" s="17" t="s">
        <v>59</v>
      </c>
      <c r="B60" s="18">
        <f>[37]SCF!C56</f>
        <v>9764900</v>
      </c>
      <c r="C60" s="18">
        <v>5905767.9100000011</v>
      </c>
      <c r="D60" s="18">
        <f t="shared" si="6"/>
        <v>3859132.0899999989</v>
      </c>
      <c r="E60" s="19">
        <f t="shared" si="8"/>
        <v>39.520446599555541</v>
      </c>
    </row>
    <row r="61" spans="1:5" ht="15" customHeight="1" x14ac:dyDescent="0.3">
      <c r="A61" s="17" t="s">
        <v>60</v>
      </c>
      <c r="B61" s="18">
        <f>[37]SCF!C57</f>
        <v>11238900</v>
      </c>
      <c r="C61" s="18">
        <v>3311765.85</v>
      </c>
      <c r="D61" s="18">
        <f t="shared" si="6"/>
        <v>7927134.1500000004</v>
      </c>
      <c r="E61" s="19">
        <f t="shared" si="8"/>
        <v>70.533007233804028</v>
      </c>
    </row>
    <row r="62" spans="1:5" ht="15" customHeight="1" x14ac:dyDescent="0.3">
      <c r="A62" s="10" t="s">
        <v>61</v>
      </c>
      <c r="B62" s="11" t="s">
        <v>15</v>
      </c>
      <c r="C62" s="18"/>
      <c r="D62" s="11" t="s">
        <v>15</v>
      </c>
      <c r="E62" s="13" t="s">
        <v>15</v>
      </c>
    </row>
    <row r="63" spans="1:5" x14ac:dyDescent="0.3">
      <c r="A63" s="24" t="s">
        <v>62</v>
      </c>
      <c r="B63" s="18">
        <f>[37]SCF!C60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63</v>
      </c>
      <c r="B64" s="18">
        <f>[37]SCF!C61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64</v>
      </c>
      <c r="B65" s="18">
        <f>[37]SCF!C62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65</v>
      </c>
      <c r="B66" s="18">
        <f>[37]SCF!C63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66</v>
      </c>
      <c r="B67" s="18">
        <f>[37]SCF!C64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67</v>
      </c>
      <c r="B68" s="15">
        <f>+B63+B64+B65+B66+B67</f>
        <v>0</v>
      </c>
      <c r="C68" s="31">
        <v>0</v>
      </c>
      <c r="D68" s="31">
        <f t="shared" ref="D68" si="11">+C68-B68</f>
        <v>0</v>
      </c>
      <c r="E68" s="32" t="e">
        <f t="shared" ref="E68" si="12">+D68/B68*100</f>
        <v>#DIV/0!</v>
      </c>
    </row>
    <row r="69" spans="1:5" ht="15" customHeight="1" x14ac:dyDescent="0.3">
      <c r="A69" s="10" t="s">
        <v>68</v>
      </c>
      <c r="B69" s="11" t="s">
        <v>15</v>
      </c>
      <c r="C69" s="12" t="s">
        <v>15</v>
      </c>
      <c r="D69" s="11" t="s">
        <v>15</v>
      </c>
      <c r="E69" s="13" t="s">
        <v>15</v>
      </c>
    </row>
    <row r="70" spans="1:5" ht="15" customHeight="1" x14ac:dyDescent="0.3">
      <c r="A70" s="14" t="s">
        <v>69</v>
      </c>
      <c r="B70" s="15">
        <f>[37]SCF!C67</f>
        <v>167367740</v>
      </c>
      <c r="C70" s="15">
        <v>47490375.169999994</v>
      </c>
      <c r="D70" s="15">
        <f t="shared" ref="D70:D82" si="13">+C70-B70</f>
        <v>-119877364.83000001</v>
      </c>
      <c r="E70" s="16">
        <f t="shared" ref="E70:E82" si="14">+D70/B70*100</f>
        <v>-71.62513207742424</v>
      </c>
    </row>
    <row r="71" spans="1:5" ht="15" customHeight="1" x14ac:dyDescent="0.3">
      <c r="A71" s="17" t="s">
        <v>20</v>
      </c>
      <c r="B71" s="18">
        <f>[37]SCF!C68</f>
        <v>89300899.790000007</v>
      </c>
      <c r="C71" s="18">
        <v>34759682.530000001</v>
      </c>
      <c r="D71" s="18">
        <f t="shared" si="13"/>
        <v>-54541217.260000005</v>
      </c>
      <c r="E71" s="19">
        <f t="shared" ref="E71:E81" si="15">IFERROR(+D71/B71*100,0)</f>
        <v>-61.075775706917987</v>
      </c>
    </row>
    <row r="72" spans="1:5" ht="15" customHeight="1" x14ac:dyDescent="0.3">
      <c r="A72" s="17" t="s">
        <v>21</v>
      </c>
      <c r="B72" s="18">
        <f>[37]SCF!C69</f>
        <v>851438.77</v>
      </c>
      <c r="C72" s="18">
        <v>331415.93</v>
      </c>
      <c r="D72" s="18">
        <f t="shared" si="13"/>
        <v>-520022.84</v>
      </c>
      <c r="E72" s="19">
        <f t="shared" si="15"/>
        <v>-61.075776476563313</v>
      </c>
    </row>
    <row r="73" spans="1:5" ht="15" customHeight="1" x14ac:dyDescent="0.3">
      <c r="A73" s="17" t="s">
        <v>22</v>
      </c>
      <c r="B73" s="18">
        <f>[37]SCF!C70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70</v>
      </c>
      <c r="B74" s="18">
        <f>[37]SCF!C71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24</v>
      </c>
      <c r="B75" s="18">
        <f>[37]SCF!C72</f>
        <v>21436222.670000002</v>
      </c>
      <c r="C75" s="18">
        <v>8343883.4099999992</v>
      </c>
      <c r="D75" s="18">
        <f t="shared" si="13"/>
        <v>-13092339.260000002</v>
      </c>
      <c r="E75" s="19">
        <f t="shared" si="15"/>
        <v>-61.075775623112619</v>
      </c>
    </row>
    <row r="76" spans="1:5" ht="15" customHeight="1" x14ac:dyDescent="0.3">
      <c r="A76" s="17" t="s">
        <v>25</v>
      </c>
      <c r="B76" s="18">
        <f>[37]SCF!C73</f>
        <v>55779178.770000003</v>
      </c>
      <c r="C76" s="18">
        <v>4055393.3000000003</v>
      </c>
      <c r="D76" s="18">
        <f t="shared" si="13"/>
        <v>-51723785.470000006</v>
      </c>
      <c r="E76" s="19">
        <f t="shared" si="15"/>
        <v>-92.729557176304056</v>
      </c>
    </row>
    <row r="77" spans="1:5" x14ac:dyDescent="0.3">
      <c r="A77" s="24" t="s">
        <v>71</v>
      </c>
      <c r="B77" s="18">
        <f>[37]SCF!C74</f>
        <v>37117564</v>
      </c>
      <c r="C77" s="18">
        <v>1102550.21</v>
      </c>
      <c r="D77" s="18">
        <f t="shared" ref="D77:D81" si="16">C77-B77</f>
        <v>-36015013.789999999</v>
      </c>
      <c r="E77" s="19">
        <f t="shared" si="15"/>
        <v>-97.029572818948992</v>
      </c>
    </row>
    <row r="78" spans="1:5" x14ac:dyDescent="0.3">
      <c r="A78" s="24" t="s">
        <v>72</v>
      </c>
      <c r="B78" s="18">
        <f>[37]SCF!C75</f>
        <v>6029393</v>
      </c>
      <c r="C78" s="18">
        <v>13642732.609999999</v>
      </c>
      <c r="D78" s="18">
        <f t="shared" si="16"/>
        <v>7613339.6099999994</v>
      </c>
      <c r="E78" s="19">
        <f t="shared" si="15"/>
        <v>126.27041577817202</v>
      </c>
    </row>
    <row r="79" spans="1:5" ht="15" customHeight="1" x14ac:dyDescent="0.3">
      <c r="A79" s="24" t="s">
        <v>73</v>
      </c>
      <c r="B79" s="18">
        <f>[37]SCF!C76</f>
        <v>18779113</v>
      </c>
      <c r="C79" s="18">
        <v>18398718.259999998</v>
      </c>
      <c r="D79" s="18">
        <f t="shared" si="16"/>
        <v>-380394.74000000209</v>
      </c>
      <c r="E79" s="19">
        <f t="shared" si="15"/>
        <v>-2.0256267694858754</v>
      </c>
    </row>
    <row r="80" spans="1:5" x14ac:dyDescent="0.3">
      <c r="A80" s="24" t="s">
        <v>74</v>
      </c>
      <c r="B80" s="18">
        <f>[37]SCF!C77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75</v>
      </c>
      <c r="B81" s="18">
        <f>[37]SCF!C78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76</v>
      </c>
      <c r="B82" s="15">
        <f>+B70+B77+B78+B79+B80+B81</f>
        <v>229293810</v>
      </c>
      <c r="C82" s="31">
        <v>80634376.25</v>
      </c>
      <c r="D82" s="31">
        <f t="shared" si="13"/>
        <v>-148659433.75</v>
      </c>
      <c r="E82" s="32">
        <f t="shared" si="14"/>
        <v>-64.833600937591811</v>
      </c>
    </row>
    <row r="83" spans="1:5" ht="15" customHeight="1" x14ac:dyDescent="0.3">
      <c r="A83" s="10" t="s">
        <v>77</v>
      </c>
      <c r="B83" s="11" t="s">
        <v>15</v>
      </c>
      <c r="C83" s="12" t="s">
        <v>15</v>
      </c>
      <c r="D83" s="11" t="s">
        <v>15</v>
      </c>
      <c r="E83" s="13" t="s">
        <v>15</v>
      </c>
    </row>
    <row r="84" spans="1:5" ht="15" customHeight="1" x14ac:dyDescent="0.3">
      <c r="A84" s="24" t="s">
        <v>78</v>
      </c>
      <c r="B84" s="18">
        <f>[37]SCF!C81</f>
        <v>0</v>
      </c>
      <c r="C84" s="18">
        <v>117362.04</v>
      </c>
      <c r="D84" s="18">
        <f t="shared" ref="D84:D88" si="17">+C84-B84</f>
        <v>117362.04</v>
      </c>
      <c r="E84" s="19">
        <f t="shared" ref="E84:E86" si="18">IFERROR(+D84/B84*100,0)</f>
        <v>0</v>
      </c>
    </row>
    <row r="85" spans="1:5" ht="15" customHeight="1" x14ac:dyDescent="0.3">
      <c r="A85" s="24" t="s">
        <v>79</v>
      </c>
      <c r="B85" s="18">
        <f>[37]SCF!C82</f>
        <v>195917747</v>
      </c>
      <c r="C85" s="18">
        <v>80068865.939999998</v>
      </c>
      <c r="D85" s="18">
        <f t="shared" si="17"/>
        <v>-115848881.06</v>
      </c>
      <c r="E85" s="19">
        <f t="shared" si="18"/>
        <v>-59.131386938621745</v>
      </c>
    </row>
    <row r="86" spans="1:5" ht="15" customHeight="1" x14ac:dyDescent="0.3">
      <c r="A86" s="24" t="s">
        <v>80</v>
      </c>
      <c r="B86" s="18">
        <f>[37]SCF!C83</f>
        <v>657534804</v>
      </c>
      <c r="C86" s="18">
        <v>33730646.160000004</v>
      </c>
      <c r="D86" s="18">
        <f t="shared" si="17"/>
        <v>-623804157.84000003</v>
      </c>
      <c r="E86" s="19">
        <f t="shared" si="18"/>
        <v>-94.870135245342851</v>
      </c>
    </row>
    <row r="87" spans="1:5" ht="15" customHeight="1" x14ac:dyDescent="0.3">
      <c r="A87" s="30" t="s">
        <v>81</v>
      </c>
      <c r="B87" s="33">
        <f>+B84+B85+B86</f>
        <v>853452551</v>
      </c>
      <c r="C87" s="31">
        <v>113916874.14000002</v>
      </c>
      <c r="D87" s="31">
        <f t="shared" si="17"/>
        <v>-739535676.86000001</v>
      </c>
      <c r="E87" s="32">
        <f>+D87/B87*100</f>
        <v>-86.652231104526862</v>
      </c>
    </row>
    <row r="88" spans="1:5" ht="18" customHeight="1" x14ac:dyDescent="0.3">
      <c r="A88" s="25" t="s">
        <v>82</v>
      </c>
      <c r="B88" s="27">
        <f>+B45+B46+B68+B82+B87</f>
        <v>6199628811.71</v>
      </c>
      <c r="C88" s="27">
        <v>2301594070.1099997</v>
      </c>
      <c r="D88" s="27">
        <f t="shared" si="17"/>
        <v>-3898034741.6000004</v>
      </c>
      <c r="E88" s="28">
        <f>+D88/B88*100</f>
        <v>-62.875292376171032</v>
      </c>
    </row>
    <row r="89" spans="1:5" x14ac:dyDescent="0.3">
      <c r="A89" s="29" t="s">
        <v>15</v>
      </c>
      <c r="B89" s="3"/>
      <c r="C89" s="3"/>
      <c r="D89" s="3"/>
      <c r="E89" s="3"/>
    </row>
    <row r="90" spans="1:5" ht="15" customHeight="1" x14ac:dyDescent="0.3">
      <c r="A90" s="10" t="s">
        <v>83</v>
      </c>
      <c r="B90" s="11" t="s">
        <v>15</v>
      </c>
      <c r="C90" s="12" t="s">
        <v>15</v>
      </c>
      <c r="D90" s="11" t="s">
        <v>15</v>
      </c>
      <c r="E90" s="13" t="s">
        <v>15</v>
      </c>
    </row>
    <row r="91" spans="1:5" x14ac:dyDescent="0.3">
      <c r="A91" s="24" t="s">
        <v>84</v>
      </c>
      <c r="B91" s="18">
        <f>[37]SCF!C88</f>
        <v>0</v>
      </c>
      <c r="C91" s="18">
        <v>0</v>
      </c>
      <c r="D91" s="18">
        <f t="shared" ref="D91:D98" si="19">+C91-B91</f>
        <v>0</v>
      </c>
      <c r="E91" s="19">
        <f>IFERROR(+D91/B91*100,0)</f>
        <v>0</v>
      </c>
    </row>
    <row r="92" spans="1:5" ht="15" customHeight="1" x14ac:dyDescent="0.3">
      <c r="A92" s="24" t="s">
        <v>85</v>
      </c>
      <c r="B92" s="18">
        <f>[37]SCF!C89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86</v>
      </c>
      <c r="B93" s="18">
        <f>[37]SCF!C90</f>
        <v>40000000</v>
      </c>
      <c r="C93" s="18">
        <v>24564532</v>
      </c>
      <c r="D93" s="18">
        <f t="shared" si="19"/>
        <v>-15435468</v>
      </c>
      <c r="E93" s="19">
        <f t="shared" si="20"/>
        <v>-38.58867</v>
      </c>
    </row>
    <row r="94" spans="1:5" ht="15" customHeight="1" x14ac:dyDescent="0.3">
      <c r="A94" s="24" t="s">
        <v>87</v>
      </c>
      <c r="B94" s="18">
        <f>[37]SCF!C91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88</v>
      </c>
      <c r="B95" s="18">
        <f>[37]SCF!C92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89</v>
      </c>
      <c r="B96" s="18">
        <f>[37]SCF!C93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90</v>
      </c>
      <c r="B97" s="18">
        <f>[37]SCF!C94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91</v>
      </c>
      <c r="B98" s="33">
        <f>SUM(B91:B97)</f>
        <v>40000000</v>
      </c>
      <c r="C98" s="31">
        <v>24564532</v>
      </c>
      <c r="D98" s="31">
        <f t="shared" si="19"/>
        <v>-15435468</v>
      </c>
      <c r="E98" s="32">
        <f t="shared" ref="E98" si="21">+D98/B98*100</f>
        <v>-38.58867</v>
      </c>
    </row>
    <row r="99" spans="1:5" ht="15" customHeight="1" x14ac:dyDescent="0.3">
      <c r="A99" s="34" t="s">
        <v>92</v>
      </c>
      <c r="B99" s="35">
        <f>+B42-B88-B98</f>
        <v>14523955.279999733</v>
      </c>
      <c r="C99" s="36">
        <v>210711545.21000051</v>
      </c>
      <c r="D99" s="37" t="s">
        <v>15</v>
      </c>
      <c r="E99" s="38" t="s">
        <v>15</v>
      </c>
    </row>
    <row r="100" spans="1:5" ht="15" customHeight="1" x14ac:dyDescent="0.3">
      <c r="A100" s="39" t="s">
        <v>93</v>
      </c>
      <c r="B100" s="18">
        <f>[37]SCF!$C$97</f>
        <v>320026137</v>
      </c>
      <c r="C100" s="18">
        <v>269048110.94</v>
      </c>
      <c r="D100" s="40" t="s">
        <v>15</v>
      </c>
      <c r="E100" s="41" t="s">
        <v>15</v>
      </c>
    </row>
    <row r="101" spans="1:5" ht="15" customHeight="1" x14ac:dyDescent="0.3">
      <c r="A101" s="34" t="s">
        <v>94</v>
      </c>
      <c r="B101" s="35">
        <f>B99+B100</f>
        <v>334550092.27999973</v>
      </c>
      <c r="C101" s="36">
        <v>479759656.15000051</v>
      </c>
      <c r="D101" s="42" t="s">
        <v>15</v>
      </c>
      <c r="E101" s="43" t="s">
        <v>15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ZAMECO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+[38]SCF!$C$2</f>
        <v>ZAMECO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14</v>
      </c>
      <c r="B15" s="11" t="s">
        <v>15</v>
      </c>
      <c r="C15" s="12" t="s">
        <v>15</v>
      </c>
      <c r="D15" s="11" t="s">
        <v>15</v>
      </c>
      <c r="E15" s="13" t="s">
        <v>15</v>
      </c>
    </row>
    <row r="16" spans="1:5" ht="15" customHeight="1" x14ac:dyDescent="0.3">
      <c r="A16" s="14" t="s">
        <v>16</v>
      </c>
      <c r="B16" s="15">
        <f>[38]SCF!C12</f>
        <v>2956762136.3600001</v>
      </c>
      <c r="C16" s="15">
        <v>1197187812.1700003</v>
      </c>
      <c r="D16" s="15">
        <f>+C16-B16</f>
        <v>-1759574324.1899998</v>
      </c>
      <c r="E16" s="16">
        <f t="shared" ref="E16:E42" si="0">+D16/B16*100</f>
        <v>-59.510175084836888</v>
      </c>
    </row>
    <row r="17" spans="1:5" ht="15" customHeight="1" x14ac:dyDescent="0.3">
      <c r="A17" s="17" t="s">
        <v>17</v>
      </c>
      <c r="B17" s="18">
        <f>[38]SCF!C13</f>
        <v>2553054853.3400002</v>
      </c>
      <c r="C17" s="18">
        <v>1036579343.58</v>
      </c>
      <c r="D17" s="18">
        <f t="shared" ref="D17:D42" si="1">+C17-B17</f>
        <v>-1516475509.7600002</v>
      </c>
      <c r="E17" s="19">
        <f t="shared" ref="E17:E18" si="2">IFERROR(+D17/B17*100,0)</f>
        <v>-59.398469554075241</v>
      </c>
    </row>
    <row r="18" spans="1:5" ht="15" customHeight="1" x14ac:dyDescent="0.3">
      <c r="A18" s="17" t="s">
        <v>18</v>
      </c>
      <c r="B18" s="18">
        <f>[38]SCF!C14</f>
        <v>42133631.049999997</v>
      </c>
      <c r="C18" s="18">
        <v>19998361.82</v>
      </c>
      <c r="D18" s="18">
        <f t="shared" si="1"/>
        <v>-22135269.229999997</v>
      </c>
      <c r="E18" s="19">
        <f t="shared" si="2"/>
        <v>-52.535869039466512</v>
      </c>
    </row>
    <row r="19" spans="1:5" ht="15" customHeight="1" x14ac:dyDescent="0.3">
      <c r="A19" s="20" t="s">
        <v>19</v>
      </c>
      <c r="B19" s="15">
        <f>[38]SCF!C15</f>
        <v>39185097.130000003</v>
      </c>
      <c r="C19" s="21">
        <v>18265197.140000001</v>
      </c>
      <c r="D19" s="21">
        <f t="shared" si="1"/>
        <v>-20919899.990000002</v>
      </c>
      <c r="E19" s="22">
        <f t="shared" si="0"/>
        <v>-53.387388375219267</v>
      </c>
    </row>
    <row r="20" spans="1:5" ht="15" customHeight="1" x14ac:dyDescent="0.3">
      <c r="A20" s="23" t="s">
        <v>20</v>
      </c>
      <c r="B20" s="18">
        <f>[38]SCF!C16</f>
        <v>26025641.940000001</v>
      </c>
      <c r="C20" s="18">
        <v>14715078.970000001</v>
      </c>
      <c r="D20" s="18">
        <f t="shared" si="1"/>
        <v>-11310562.970000001</v>
      </c>
      <c r="E20" s="19">
        <f t="shared" ref="E20:E28" si="3">IFERROR(+D20/B20*100,0)</f>
        <v>-43.459304466247488</v>
      </c>
    </row>
    <row r="21" spans="1:5" ht="15" customHeight="1" x14ac:dyDescent="0.3">
      <c r="A21" s="23" t="s">
        <v>21</v>
      </c>
      <c r="B21" s="18">
        <f>[38]SCF!C17</f>
        <v>374744.74</v>
      </c>
      <c r="C21" s="18">
        <v>135580.62</v>
      </c>
      <c r="D21" s="18">
        <f t="shared" si="1"/>
        <v>-239164.12</v>
      </c>
      <c r="E21" s="19">
        <f t="shared" si="3"/>
        <v>-63.820540883375706</v>
      </c>
    </row>
    <row r="22" spans="1:5" ht="15" customHeight="1" x14ac:dyDescent="0.3">
      <c r="A22" s="23" t="s">
        <v>22</v>
      </c>
      <c r="B22" s="18">
        <f>[38]SCF!C18</f>
        <v>0</v>
      </c>
      <c r="C22" s="18">
        <v>70.530000000000015</v>
      </c>
      <c r="D22" s="18">
        <f t="shared" si="1"/>
        <v>70.530000000000015</v>
      </c>
      <c r="E22" s="19">
        <f t="shared" si="3"/>
        <v>0</v>
      </c>
    </row>
    <row r="23" spans="1:5" ht="15" customHeight="1" x14ac:dyDescent="0.3">
      <c r="A23" s="23" t="s">
        <v>23</v>
      </c>
      <c r="B23" s="18">
        <f>[38]SCF!C19</f>
        <v>5503026.7599999998</v>
      </c>
      <c r="C23" s="18">
        <v>2068.3199999999997</v>
      </c>
      <c r="D23" s="18">
        <f t="shared" si="1"/>
        <v>-5500958.4399999995</v>
      </c>
      <c r="E23" s="19">
        <f t="shared" si="3"/>
        <v>-99.962414865669302</v>
      </c>
    </row>
    <row r="24" spans="1:5" ht="15" customHeight="1" x14ac:dyDescent="0.3">
      <c r="A24" s="23" t="s">
        <v>24</v>
      </c>
      <c r="B24" s="18">
        <f>[38]SCF!C20</f>
        <v>7281683.6900000004</v>
      </c>
      <c r="C24" s="18">
        <v>3412398.6999999993</v>
      </c>
      <c r="D24" s="18">
        <f t="shared" si="1"/>
        <v>-3869284.9900000012</v>
      </c>
      <c r="E24" s="19">
        <f t="shared" si="3"/>
        <v>-53.137229722210044</v>
      </c>
    </row>
    <row r="25" spans="1:5" ht="15" customHeight="1" x14ac:dyDescent="0.3">
      <c r="A25" s="23" t="s">
        <v>25</v>
      </c>
      <c r="B25" s="18">
        <f>[38]SCF!C21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26</v>
      </c>
      <c r="B26" s="18">
        <f>[38]SCF!C22</f>
        <v>16188940.18</v>
      </c>
      <c r="C26" s="18">
        <v>273982.42</v>
      </c>
      <c r="D26" s="18">
        <f t="shared" si="1"/>
        <v>-15914957.76</v>
      </c>
      <c r="E26" s="19">
        <f t="shared" si="3"/>
        <v>-98.307595080631145</v>
      </c>
    </row>
    <row r="27" spans="1:5" ht="15" customHeight="1" x14ac:dyDescent="0.3">
      <c r="A27" s="17" t="s">
        <v>27</v>
      </c>
      <c r="B27" s="18">
        <f>[38]SCF!C23</f>
        <v>306199614.66000003</v>
      </c>
      <c r="C27" s="18">
        <v>122070927.21000001</v>
      </c>
      <c r="D27" s="18">
        <f t="shared" si="1"/>
        <v>-184128687.45000002</v>
      </c>
      <c r="E27" s="19">
        <f t="shared" si="3"/>
        <v>-60.133546429982957</v>
      </c>
    </row>
    <row r="28" spans="1:5" ht="15" customHeight="1" x14ac:dyDescent="0.3">
      <c r="A28" s="17" t="s">
        <v>28</v>
      </c>
      <c r="B28" s="18">
        <f>[38]SCF!C24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29</v>
      </c>
      <c r="B29" s="15">
        <f>[38]SCF!C25</f>
        <v>90414458.760000005</v>
      </c>
      <c r="C29" s="15">
        <v>48154123.170000002</v>
      </c>
      <c r="D29" s="15">
        <f t="shared" si="1"/>
        <v>-42260335.590000004</v>
      </c>
      <c r="E29" s="16">
        <f t="shared" si="0"/>
        <v>-46.74068303851449</v>
      </c>
    </row>
    <row r="30" spans="1:5" ht="15" customHeight="1" x14ac:dyDescent="0.3">
      <c r="A30" s="17" t="s">
        <v>30</v>
      </c>
      <c r="B30" s="18">
        <f>[38]SCF!C26</f>
        <v>4835393.45</v>
      </c>
      <c r="C30" s="18">
        <v>2757885.5900000003</v>
      </c>
      <c r="D30" s="18">
        <f t="shared" si="1"/>
        <v>-2077507.8599999999</v>
      </c>
      <c r="E30" s="19">
        <f t="shared" ref="E30:E32" si="4">IFERROR(+D30/B30*100,0)</f>
        <v>-42.964608391898281</v>
      </c>
    </row>
    <row r="31" spans="1:5" ht="15" customHeight="1" x14ac:dyDescent="0.3">
      <c r="A31" s="17" t="s">
        <v>31</v>
      </c>
      <c r="B31" s="18">
        <f>[38]SCF!C27</f>
        <v>37827182.189999998</v>
      </c>
      <c r="C31" s="18">
        <v>21724310.689999998</v>
      </c>
      <c r="D31" s="18">
        <f t="shared" si="1"/>
        <v>-16102871.5</v>
      </c>
      <c r="E31" s="19">
        <f t="shared" si="4"/>
        <v>-42.569577134024428</v>
      </c>
    </row>
    <row r="32" spans="1:5" x14ac:dyDescent="0.3">
      <c r="A32" s="17" t="s">
        <v>32</v>
      </c>
      <c r="B32" s="18">
        <f>[38]SCF!C28</f>
        <v>47751883.119999997</v>
      </c>
      <c r="C32" s="18">
        <v>23671926.890000001</v>
      </c>
      <c r="D32" s="18">
        <f t="shared" si="1"/>
        <v>-24079956.229999997</v>
      </c>
      <c r="E32" s="19">
        <f t="shared" si="4"/>
        <v>-50.427239004349445</v>
      </c>
    </row>
    <row r="33" spans="1:5" x14ac:dyDescent="0.3">
      <c r="A33" s="14" t="s">
        <v>33</v>
      </c>
      <c r="B33" s="15">
        <f>[38]SCF!C29</f>
        <v>21000000</v>
      </c>
      <c r="C33" s="15">
        <v>0</v>
      </c>
      <c r="D33" s="15">
        <f t="shared" si="1"/>
        <v>-21000000</v>
      </c>
      <c r="E33" s="16">
        <f t="shared" si="0"/>
        <v>-100</v>
      </c>
    </row>
    <row r="34" spans="1:5" ht="15" customHeight="1" x14ac:dyDescent="0.3">
      <c r="A34" s="17" t="s">
        <v>34</v>
      </c>
      <c r="B34" s="18">
        <f>[38]SCF!C30</f>
        <v>21000000</v>
      </c>
      <c r="C34" s="18">
        <v>0</v>
      </c>
      <c r="D34" s="18">
        <f t="shared" si="1"/>
        <v>-21000000</v>
      </c>
      <c r="E34" s="19">
        <f t="shared" ref="E34:E41" si="5">IFERROR(+D34/B34*100,0)</f>
        <v>-100</v>
      </c>
    </row>
    <row r="35" spans="1:5" ht="15" customHeight="1" x14ac:dyDescent="0.3">
      <c r="A35" s="17" t="s">
        <v>35</v>
      </c>
      <c r="B35" s="18">
        <f>[38]SCF!C31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36</v>
      </c>
      <c r="B36" s="18">
        <f>[38]SCF!C32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37</v>
      </c>
      <c r="B37" s="18">
        <f>[38]SCF!C33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38</v>
      </c>
      <c r="B38" s="18">
        <f>[38]SCF!C34</f>
        <v>21657102.170000002</v>
      </c>
      <c r="C38" s="18">
        <v>4992060.3899999997</v>
      </c>
      <c r="D38" s="18">
        <f t="shared" si="1"/>
        <v>-16665041.780000001</v>
      </c>
      <c r="E38" s="19">
        <f t="shared" si="5"/>
        <v>-76.949545923483996</v>
      </c>
    </row>
    <row r="39" spans="1:5" ht="15" customHeight="1" x14ac:dyDescent="0.3">
      <c r="A39" s="24" t="s">
        <v>39</v>
      </c>
      <c r="B39" s="18">
        <f>[38]SCF!C35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40</v>
      </c>
      <c r="B40" s="18">
        <f>[38]SCF!C36</f>
        <v>13901506.970000001</v>
      </c>
      <c r="C40" s="18">
        <v>33526323.289999999</v>
      </c>
      <c r="D40" s="18">
        <f t="shared" si="1"/>
        <v>19624816.32</v>
      </c>
      <c r="E40" s="19">
        <f t="shared" si="5"/>
        <v>141.17042391412045</v>
      </c>
    </row>
    <row r="41" spans="1:5" ht="15" customHeight="1" x14ac:dyDescent="0.3">
      <c r="A41" s="24" t="s">
        <v>41</v>
      </c>
      <c r="B41" s="18">
        <f>[38]SCF!C37</f>
        <v>1969495.22</v>
      </c>
      <c r="C41" s="18">
        <v>194135.50999999998</v>
      </c>
      <c r="D41" s="18">
        <f t="shared" si="1"/>
        <v>-1775359.71</v>
      </c>
      <c r="E41" s="19">
        <f t="shared" si="5"/>
        <v>-90.142879859337768</v>
      </c>
    </row>
    <row r="42" spans="1:5" ht="15" customHeight="1" x14ac:dyDescent="0.3">
      <c r="A42" s="25" t="s">
        <v>42</v>
      </c>
      <c r="B42" s="26">
        <f>[38]SCF!C38</f>
        <v>3105704699.48</v>
      </c>
      <c r="C42" s="27">
        <v>1284054454.5300004</v>
      </c>
      <c r="D42" s="27">
        <f t="shared" si="1"/>
        <v>-1821650244.9499996</v>
      </c>
      <c r="E42" s="28">
        <f t="shared" si="0"/>
        <v>-58.654972742740327</v>
      </c>
    </row>
    <row r="43" spans="1:5" ht="18" customHeight="1" x14ac:dyDescent="0.3">
      <c r="A43" s="29" t="s">
        <v>15</v>
      </c>
      <c r="B43" s="3"/>
      <c r="C43" s="3"/>
      <c r="D43" s="3"/>
      <c r="E43" s="3"/>
    </row>
    <row r="44" spans="1:5" ht="15" customHeight="1" x14ac:dyDescent="0.3">
      <c r="A44" s="10" t="s">
        <v>43</v>
      </c>
      <c r="B44" s="11" t="s">
        <v>15</v>
      </c>
      <c r="C44" s="12" t="s">
        <v>15</v>
      </c>
      <c r="D44" s="11" t="s">
        <v>15</v>
      </c>
      <c r="E44" s="13" t="s">
        <v>15</v>
      </c>
    </row>
    <row r="45" spans="1:5" ht="15" customHeight="1" x14ac:dyDescent="0.3">
      <c r="A45" s="24" t="s">
        <v>44</v>
      </c>
      <c r="B45" s="18">
        <f>[38]SCF!C41</f>
        <v>2308844823.9299998</v>
      </c>
      <c r="C45" s="18">
        <v>901127571.97000003</v>
      </c>
      <c r="D45" s="18">
        <f>C45-B45</f>
        <v>-1407717251.9599998</v>
      </c>
      <c r="E45" s="19">
        <f>IFERROR(+D45/B45*100,0)</f>
        <v>-60.970630740088204</v>
      </c>
    </row>
    <row r="46" spans="1:5" ht="15" customHeight="1" x14ac:dyDescent="0.3">
      <c r="A46" s="14" t="s">
        <v>45</v>
      </c>
      <c r="B46" s="15">
        <f>[38]SCF!C42</f>
        <v>197621863.75999999</v>
      </c>
      <c r="C46" s="15">
        <v>83338404.500000015</v>
      </c>
      <c r="D46" s="15">
        <f t="shared" ref="D46:D61" si="6">+B46-C46</f>
        <v>114283459.25999998</v>
      </c>
      <c r="E46" s="16">
        <f t="shared" ref="E46" si="7">+D46/B46*100</f>
        <v>57.829360115128978</v>
      </c>
    </row>
    <row r="47" spans="1:5" ht="15" customHeight="1" x14ac:dyDescent="0.3">
      <c r="A47" s="17" t="s">
        <v>46</v>
      </c>
      <c r="B47" s="18">
        <f>[38]SCF!C43</f>
        <v>94080366.680000007</v>
      </c>
      <c r="C47" s="18">
        <v>40137611.32</v>
      </c>
      <c r="D47" s="18">
        <f t="shared" si="6"/>
        <v>53942755.360000007</v>
      </c>
      <c r="E47" s="19">
        <f t="shared" ref="E47:E61" si="8">IFERROR(+D47/B47*100,0)</f>
        <v>57.336888942491107</v>
      </c>
    </row>
    <row r="48" spans="1:5" ht="15" customHeight="1" x14ac:dyDescent="0.3">
      <c r="A48" s="17" t="s">
        <v>47</v>
      </c>
      <c r="B48" s="18">
        <f>[38]SCF!C44</f>
        <v>7566560.8799999999</v>
      </c>
      <c r="C48" s="18">
        <v>3120666.72</v>
      </c>
      <c r="D48" s="18">
        <f t="shared" si="6"/>
        <v>4445894.16</v>
      </c>
      <c r="E48" s="19">
        <f t="shared" si="8"/>
        <v>58.75713194552398</v>
      </c>
    </row>
    <row r="49" spans="1:5" ht="15" customHeight="1" x14ac:dyDescent="0.3">
      <c r="A49" s="17" t="s">
        <v>48</v>
      </c>
      <c r="B49" s="18">
        <f>[38]SCF!C45</f>
        <v>37071911.329999998</v>
      </c>
      <c r="C49" s="18">
        <v>20674399.050000001</v>
      </c>
      <c r="D49" s="18">
        <f t="shared" si="6"/>
        <v>16397512.279999997</v>
      </c>
      <c r="E49" s="19">
        <f t="shared" si="8"/>
        <v>44.231634387651624</v>
      </c>
    </row>
    <row r="50" spans="1:5" ht="15" customHeight="1" x14ac:dyDescent="0.3">
      <c r="A50" s="17" t="s">
        <v>49</v>
      </c>
      <c r="B50" s="18">
        <f>[38]SCF!C46</f>
        <v>1870335</v>
      </c>
      <c r="C50" s="18">
        <v>320666.89999999997</v>
      </c>
      <c r="D50" s="18">
        <f t="shared" si="6"/>
        <v>1549668.1</v>
      </c>
      <c r="E50" s="19">
        <f t="shared" si="8"/>
        <v>82.855108844137547</v>
      </c>
    </row>
    <row r="51" spans="1:5" ht="15" customHeight="1" x14ac:dyDescent="0.3">
      <c r="A51" s="17" t="s">
        <v>50</v>
      </c>
      <c r="B51" s="18">
        <f>[38]SCF!C47</f>
        <v>5314042</v>
      </c>
      <c r="C51" s="18">
        <v>213380.57</v>
      </c>
      <c r="D51" s="18">
        <f t="shared" si="6"/>
        <v>5100661.43</v>
      </c>
      <c r="E51" s="19">
        <f t="shared" si="8"/>
        <v>95.98459007286732</v>
      </c>
    </row>
    <row r="52" spans="1:5" x14ac:dyDescent="0.3">
      <c r="A52" s="17" t="s">
        <v>51</v>
      </c>
      <c r="B52" s="18">
        <f>[38]SCF!C48</f>
        <v>2780000</v>
      </c>
      <c r="C52" s="18">
        <v>935726</v>
      </c>
      <c r="D52" s="18">
        <f t="shared" si="6"/>
        <v>1844274</v>
      </c>
      <c r="E52" s="19">
        <f t="shared" si="8"/>
        <v>66.340791366906473</v>
      </c>
    </row>
    <row r="53" spans="1:5" ht="15" customHeight="1" x14ac:dyDescent="0.3">
      <c r="A53" s="17" t="s">
        <v>52</v>
      </c>
      <c r="B53" s="18">
        <f>[38]SCF!C49</f>
        <v>7399300</v>
      </c>
      <c r="C53" s="18">
        <v>2643814.27</v>
      </c>
      <c r="D53" s="18">
        <f t="shared" si="6"/>
        <v>4755485.7300000004</v>
      </c>
      <c r="E53" s="19">
        <f t="shared" si="8"/>
        <v>64.269400213533729</v>
      </c>
    </row>
    <row r="54" spans="1:5" ht="15" customHeight="1" x14ac:dyDescent="0.3">
      <c r="A54" s="17" t="s">
        <v>53</v>
      </c>
      <c r="B54" s="18">
        <f>[38]SCF!C50</f>
        <v>3721280</v>
      </c>
      <c r="C54" s="18">
        <v>1768306.02</v>
      </c>
      <c r="D54" s="18">
        <f t="shared" si="6"/>
        <v>1952973.98</v>
      </c>
      <c r="E54" s="19">
        <f t="shared" si="8"/>
        <v>52.481242475707276</v>
      </c>
    </row>
    <row r="55" spans="1:5" ht="15" customHeight="1" x14ac:dyDescent="0.3">
      <c r="A55" s="17" t="s">
        <v>54</v>
      </c>
      <c r="B55" s="18">
        <f>[38]SCF!C51</f>
        <v>1917000</v>
      </c>
      <c r="C55" s="18">
        <v>627500</v>
      </c>
      <c r="D55" s="18">
        <f t="shared" si="6"/>
        <v>1289500</v>
      </c>
      <c r="E55" s="19">
        <f t="shared" si="8"/>
        <v>67.266562336984876</v>
      </c>
    </row>
    <row r="56" spans="1:5" ht="15" customHeight="1" x14ac:dyDescent="0.3">
      <c r="A56" s="17" t="s">
        <v>55</v>
      </c>
      <c r="B56" s="18">
        <f>[38]SCF!C52</f>
        <v>2577600</v>
      </c>
      <c r="C56" s="18">
        <v>1322772.29</v>
      </c>
      <c r="D56" s="18">
        <f t="shared" si="6"/>
        <v>1254827.71</v>
      </c>
      <c r="E56" s="19">
        <f t="shared" si="8"/>
        <v>48.682018544382373</v>
      </c>
    </row>
    <row r="57" spans="1:5" ht="15" customHeight="1" x14ac:dyDescent="0.3">
      <c r="A57" s="17" t="s">
        <v>56</v>
      </c>
      <c r="B57" s="18">
        <f>[38]SCF!C53</f>
        <v>16924916.870000001</v>
      </c>
      <c r="C57" s="18">
        <v>6167930.3200000003</v>
      </c>
      <c r="D57" s="18">
        <f t="shared" si="6"/>
        <v>10756986.550000001</v>
      </c>
      <c r="E57" s="19">
        <f t="shared" si="8"/>
        <v>63.557101240875994</v>
      </c>
    </row>
    <row r="58" spans="1:5" ht="15" customHeight="1" x14ac:dyDescent="0.3">
      <c r="A58" s="17" t="s">
        <v>57</v>
      </c>
      <c r="B58" s="18">
        <f>[38]SCF!C54</f>
        <v>1261200</v>
      </c>
      <c r="C58" s="18">
        <v>620030.98</v>
      </c>
      <c r="D58" s="18">
        <f t="shared" si="6"/>
        <v>641169.02</v>
      </c>
      <c r="E58" s="19">
        <f t="shared" si="8"/>
        <v>50.838013003488747</v>
      </c>
    </row>
    <row r="59" spans="1:5" ht="15" customHeight="1" x14ac:dyDescent="0.3">
      <c r="A59" s="17" t="s">
        <v>58</v>
      </c>
      <c r="B59" s="18">
        <f>[38]SCF!C55</f>
        <v>9393000</v>
      </c>
      <c r="C59" s="18">
        <v>2540513.34</v>
      </c>
      <c r="D59" s="18">
        <f t="shared" si="6"/>
        <v>6852486.6600000001</v>
      </c>
      <c r="E59" s="19">
        <f t="shared" si="8"/>
        <v>72.953121047588638</v>
      </c>
    </row>
    <row r="60" spans="1:5" ht="15" customHeight="1" x14ac:dyDescent="0.3">
      <c r="A60" s="17" t="s">
        <v>59</v>
      </c>
      <c r="B60" s="18">
        <f>[38]SCF!C56</f>
        <v>955200</v>
      </c>
      <c r="C60" s="18">
        <v>99190</v>
      </c>
      <c r="D60" s="18">
        <f t="shared" si="6"/>
        <v>856010</v>
      </c>
      <c r="E60" s="19">
        <f t="shared" si="8"/>
        <v>89.615787269681746</v>
      </c>
    </row>
    <row r="61" spans="1:5" ht="15" customHeight="1" x14ac:dyDescent="0.3">
      <c r="A61" s="17" t="s">
        <v>60</v>
      </c>
      <c r="B61" s="18">
        <f>[38]SCF!C57</f>
        <v>4789151</v>
      </c>
      <c r="C61" s="18">
        <v>2145896.7199999997</v>
      </c>
      <c r="D61" s="18">
        <f t="shared" si="6"/>
        <v>2643254.2800000003</v>
      </c>
      <c r="E61" s="19">
        <f t="shared" si="8"/>
        <v>55.192544148221693</v>
      </c>
    </row>
    <row r="62" spans="1:5" ht="15" customHeight="1" x14ac:dyDescent="0.3">
      <c r="A62" s="10" t="s">
        <v>61</v>
      </c>
      <c r="B62" s="11" t="s">
        <v>15</v>
      </c>
      <c r="C62" s="18"/>
      <c r="D62" s="11" t="s">
        <v>15</v>
      </c>
      <c r="E62" s="13" t="s">
        <v>15</v>
      </c>
    </row>
    <row r="63" spans="1:5" x14ac:dyDescent="0.3">
      <c r="A63" s="24" t="s">
        <v>62</v>
      </c>
      <c r="B63" s="18">
        <f>[38]SCF!C60</f>
        <v>13677176.539999999</v>
      </c>
      <c r="C63" s="18">
        <v>5434650</v>
      </c>
      <c r="D63" s="18">
        <f t="shared" ref="D63:D67" si="9">C63-B63</f>
        <v>-8242526.5399999991</v>
      </c>
      <c r="E63" s="19">
        <f t="shared" ref="E63:E67" si="10">IFERROR(+D63/B63*100,0)</f>
        <v>-60.264825242944475</v>
      </c>
    </row>
    <row r="64" spans="1:5" x14ac:dyDescent="0.3">
      <c r="A64" s="24" t="s">
        <v>63</v>
      </c>
      <c r="B64" s="18">
        <f>[38]SCF!C61</f>
        <v>5056086</v>
      </c>
      <c r="C64" s="18">
        <v>2671439</v>
      </c>
      <c r="D64" s="18">
        <f t="shared" si="9"/>
        <v>-2384647</v>
      </c>
      <c r="E64" s="19">
        <f t="shared" si="10"/>
        <v>-47.163893177449914</v>
      </c>
    </row>
    <row r="65" spans="1:5" ht="15" customHeight="1" x14ac:dyDescent="0.3">
      <c r="A65" s="24" t="s">
        <v>64</v>
      </c>
      <c r="B65" s="18">
        <f>[38]SCF!C62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65</v>
      </c>
      <c r="B66" s="18">
        <f>[38]SCF!C63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66</v>
      </c>
      <c r="B67" s="18">
        <f>[38]SCF!C64</f>
        <v>24600000</v>
      </c>
      <c r="C67" s="18">
        <v>1753524.25</v>
      </c>
      <c r="D67" s="18">
        <f t="shared" si="9"/>
        <v>-22846475.75</v>
      </c>
      <c r="E67" s="19">
        <f t="shared" si="10"/>
        <v>-92.871852642276423</v>
      </c>
    </row>
    <row r="68" spans="1:5" ht="15" customHeight="1" x14ac:dyDescent="0.3">
      <c r="A68" s="30" t="s">
        <v>67</v>
      </c>
      <c r="B68" s="15">
        <f>+B63+B64+B65+B66+B67</f>
        <v>43333262.539999999</v>
      </c>
      <c r="C68" s="31">
        <v>9859613.25</v>
      </c>
      <c r="D68" s="31">
        <f t="shared" ref="D68" si="11">+C68-B68</f>
        <v>-33473649.289999999</v>
      </c>
      <c r="E68" s="32">
        <f t="shared" ref="E68" si="12">+D68/B68*100</f>
        <v>-77.247009174767754</v>
      </c>
    </row>
    <row r="69" spans="1:5" ht="15" customHeight="1" x14ac:dyDescent="0.3">
      <c r="A69" s="10" t="s">
        <v>68</v>
      </c>
      <c r="B69" s="11" t="s">
        <v>15</v>
      </c>
      <c r="C69" s="12" t="s">
        <v>15</v>
      </c>
      <c r="D69" s="11" t="s">
        <v>15</v>
      </c>
      <c r="E69" s="13" t="s">
        <v>15</v>
      </c>
    </row>
    <row r="70" spans="1:5" ht="15" customHeight="1" x14ac:dyDescent="0.3">
      <c r="A70" s="14" t="s">
        <v>69</v>
      </c>
      <c r="B70" s="15">
        <f>[38]SCF!C67</f>
        <v>41154592.350000001</v>
      </c>
      <c r="C70" s="15">
        <v>17513105.029999997</v>
      </c>
      <c r="D70" s="15">
        <f t="shared" ref="D70:D82" si="13">+C70-B70</f>
        <v>-23641487.320000004</v>
      </c>
      <c r="E70" s="16">
        <f t="shared" ref="E70:E82" si="14">+D70/B70*100</f>
        <v>-57.445563107369722</v>
      </c>
    </row>
    <row r="71" spans="1:5" ht="15" customHeight="1" x14ac:dyDescent="0.3">
      <c r="A71" s="17" t="s">
        <v>20</v>
      </c>
      <c r="B71" s="18">
        <f>[38]SCF!C68</f>
        <v>26025641.940000001</v>
      </c>
      <c r="C71" s="18">
        <v>13945311.91</v>
      </c>
      <c r="D71" s="18">
        <f t="shared" si="13"/>
        <v>-12080330.030000001</v>
      </c>
      <c r="E71" s="19">
        <f t="shared" ref="E71:E81" si="15">IFERROR(+D71/B71*100,0)</f>
        <v>-46.41703001159479</v>
      </c>
    </row>
    <row r="72" spans="1:5" ht="15" customHeight="1" x14ac:dyDescent="0.3">
      <c r="A72" s="17" t="s">
        <v>21</v>
      </c>
      <c r="B72" s="18">
        <f>[38]SCF!C69</f>
        <v>374744.74</v>
      </c>
      <c r="C72" s="18">
        <v>132848.07</v>
      </c>
      <c r="D72" s="18">
        <f t="shared" si="13"/>
        <v>-241896.66999999998</v>
      </c>
      <c r="E72" s="19">
        <f t="shared" si="15"/>
        <v>-64.549717228852899</v>
      </c>
    </row>
    <row r="73" spans="1:5" ht="15" customHeight="1" x14ac:dyDescent="0.3">
      <c r="A73" s="17" t="s">
        <v>22</v>
      </c>
      <c r="B73" s="18">
        <f>[38]SCF!C70</f>
        <v>0</v>
      </c>
      <c r="C73" s="18">
        <v>88.37</v>
      </c>
      <c r="D73" s="18">
        <f t="shared" si="13"/>
        <v>88.37</v>
      </c>
      <c r="E73" s="19">
        <f t="shared" si="15"/>
        <v>0</v>
      </c>
    </row>
    <row r="74" spans="1:5" ht="15" customHeight="1" x14ac:dyDescent="0.3">
      <c r="A74" s="17" t="s">
        <v>70</v>
      </c>
      <c r="B74" s="18">
        <f>[38]SCF!C71</f>
        <v>5503026.7599999998</v>
      </c>
      <c r="C74" s="18">
        <v>2710.82</v>
      </c>
      <c r="D74" s="18">
        <f t="shared" si="13"/>
        <v>-5500315.9399999995</v>
      </c>
      <c r="E74" s="19">
        <f t="shared" si="15"/>
        <v>-99.950739472689747</v>
      </c>
    </row>
    <row r="75" spans="1:5" ht="15" customHeight="1" x14ac:dyDescent="0.3">
      <c r="A75" s="17" t="s">
        <v>24</v>
      </c>
      <c r="B75" s="18">
        <f>[38]SCF!C72</f>
        <v>7281683.6900000004</v>
      </c>
      <c r="C75" s="18">
        <v>3343564.7499999995</v>
      </c>
      <c r="D75" s="18">
        <f t="shared" si="13"/>
        <v>-3938118.9400000009</v>
      </c>
      <c r="E75" s="19">
        <f t="shared" si="15"/>
        <v>-54.08253238750612</v>
      </c>
    </row>
    <row r="76" spans="1:5" ht="15" customHeight="1" x14ac:dyDescent="0.3">
      <c r="A76" s="17" t="s">
        <v>25</v>
      </c>
      <c r="B76" s="18">
        <f>[38]SCF!C73</f>
        <v>1969495.22</v>
      </c>
      <c r="C76" s="18">
        <v>88581.11</v>
      </c>
      <c r="D76" s="18">
        <f t="shared" si="13"/>
        <v>-1880914.1099999999</v>
      </c>
      <c r="E76" s="19">
        <f t="shared" si="15"/>
        <v>-95.502344504293845</v>
      </c>
    </row>
    <row r="77" spans="1:5" x14ac:dyDescent="0.3">
      <c r="A77" s="24" t="s">
        <v>71</v>
      </c>
      <c r="B77" s="18">
        <f>[38]SCF!C74</f>
        <v>16188940.18</v>
      </c>
      <c r="C77" s="18">
        <v>785616.19</v>
      </c>
      <c r="D77" s="18">
        <f t="shared" ref="D77:D81" si="16">C77-B77</f>
        <v>-15403323.99</v>
      </c>
      <c r="E77" s="19">
        <f t="shared" si="15"/>
        <v>-95.147204318102567</v>
      </c>
    </row>
    <row r="78" spans="1:5" x14ac:dyDescent="0.3">
      <c r="A78" s="24" t="s">
        <v>72</v>
      </c>
      <c r="B78" s="18">
        <f>[38]SCF!C75</f>
        <v>306199614.66000003</v>
      </c>
      <c r="C78" s="18">
        <v>136664439.94999999</v>
      </c>
      <c r="D78" s="18">
        <f t="shared" si="16"/>
        <v>-169535174.71000004</v>
      </c>
      <c r="E78" s="19">
        <f t="shared" si="15"/>
        <v>-55.367533658802813</v>
      </c>
    </row>
    <row r="79" spans="1:5" ht="15" customHeight="1" x14ac:dyDescent="0.3">
      <c r="A79" s="24" t="s">
        <v>73</v>
      </c>
      <c r="B79" s="18">
        <f>[38]SCF!C76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74</v>
      </c>
      <c r="B80" s="18">
        <f>[38]SCF!C77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75</v>
      </c>
      <c r="B81" s="18">
        <f>[38]SCF!C78</f>
        <v>2282700</v>
      </c>
      <c r="C81" s="18">
        <v>484900</v>
      </c>
      <c r="D81" s="18">
        <f t="shared" si="16"/>
        <v>-1797800</v>
      </c>
      <c r="E81" s="19">
        <f t="shared" si="15"/>
        <v>-78.757611600297892</v>
      </c>
    </row>
    <row r="82" spans="1:5" ht="15" customHeight="1" x14ac:dyDescent="0.3">
      <c r="A82" s="30" t="s">
        <v>76</v>
      </c>
      <c r="B82" s="15">
        <f>+B70+B77+B78+B79+B80+B81</f>
        <v>365825847.19000006</v>
      </c>
      <c r="C82" s="31">
        <v>155448061.16999999</v>
      </c>
      <c r="D82" s="31">
        <f t="shared" si="13"/>
        <v>-210377786.02000007</v>
      </c>
      <c r="E82" s="32">
        <f t="shared" si="14"/>
        <v>-57.507633109022926</v>
      </c>
    </row>
    <row r="83" spans="1:5" ht="15" customHeight="1" x14ac:dyDescent="0.3">
      <c r="A83" s="10" t="s">
        <v>77</v>
      </c>
      <c r="B83" s="11" t="s">
        <v>15</v>
      </c>
      <c r="C83" s="12" t="s">
        <v>15</v>
      </c>
      <c r="D83" s="11" t="s">
        <v>15</v>
      </c>
      <c r="E83" s="13" t="s">
        <v>15</v>
      </c>
    </row>
    <row r="84" spans="1:5" ht="15" customHeight="1" x14ac:dyDescent="0.3">
      <c r="A84" s="24" t="s">
        <v>78</v>
      </c>
      <c r="B84" s="18">
        <f>[38]SCF!C81</f>
        <v>21657102.170000002</v>
      </c>
      <c r="C84" s="18">
        <v>10299371.99</v>
      </c>
      <c r="D84" s="18">
        <f t="shared" ref="D84:D88" si="17">+C84-B84</f>
        <v>-11357730.180000002</v>
      </c>
      <c r="E84" s="19">
        <f t="shared" ref="E84:E86" si="18">IFERROR(+D84/B84*100,0)</f>
        <v>-52.443443683490742</v>
      </c>
    </row>
    <row r="85" spans="1:5" ht="15" customHeight="1" x14ac:dyDescent="0.3">
      <c r="A85" s="24" t="s">
        <v>79</v>
      </c>
      <c r="B85" s="18">
        <f>[38]SCF!C82</f>
        <v>67017413.460000001</v>
      </c>
      <c r="C85" s="18">
        <v>6365973</v>
      </c>
      <c r="D85" s="18">
        <f t="shared" si="17"/>
        <v>-60651440.460000001</v>
      </c>
      <c r="E85" s="19">
        <f t="shared" si="18"/>
        <v>-90.501016569671705</v>
      </c>
    </row>
    <row r="86" spans="1:5" ht="15" customHeight="1" x14ac:dyDescent="0.3">
      <c r="A86" s="24" t="s">
        <v>80</v>
      </c>
      <c r="B86" s="18">
        <f>[38]SCF!C83</f>
        <v>23310931</v>
      </c>
      <c r="C86" s="18">
        <v>2805654</v>
      </c>
      <c r="D86" s="18">
        <f t="shared" si="17"/>
        <v>-20505277</v>
      </c>
      <c r="E86" s="19">
        <f t="shared" si="18"/>
        <v>-87.964213012341716</v>
      </c>
    </row>
    <row r="87" spans="1:5" ht="15" customHeight="1" x14ac:dyDescent="0.3">
      <c r="A87" s="30" t="s">
        <v>81</v>
      </c>
      <c r="B87" s="33">
        <f>+B84+B85+B86</f>
        <v>111985446.63</v>
      </c>
      <c r="C87" s="31">
        <v>19470998.990000002</v>
      </c>
      <c r="D87" s="31">
        <f t="shared" si="17"/>
        <v>-92514447.639999986</v>
      </c>
      <c r="E87" s="32">
        <f>+D87/B87*100</f>
        <v>-82.612920182090974</v>
      </c>
    </row>
    <row r="88" spans="1:5" ht="18" customHeight="1" x14ac:dyDescent="0.3">
      <c r="A88" s="25" t="s">
        <v>82</v>
      </c>
      <c r="B88" s="27">
        <f>+B45+B46+B68+B82+B87</f>
        <v>3027611244.0499997</v>
      </c>
      <c r="C88" s="27">
        <v>1169244649.8800001</v>
      </c>
      <c r="D88" s="27">
        <f t="shared" si="17"/>
        <v>-1858366594.1699996</v>
      </c>
      <c r="E88" s="28">
        <f>+D88/B88*100</f>
        <v>-61.380621366833232</v>
      </c>
    </row>
    <row r="89" spans="1:5" x14ac:dyDescent="0.3">
      <c r="A89" s="29" t="s">
        <v>15</v>
      </c>
      <c r="B89" s="3"/>
      <c r="C89" s="3"/>
      <c r="D89" s="3"/>
      <c r="E89" s="3"/>
    </row>
    <row r="90" spans="1:5" ht="15" customHeight="1" x14ac:dyDescent="0.3">
      <c r="A90" s="10" t="s">
        <v>83</v>
      </c>
      <c r="B90" s="11" t="s">
        <v>15</v>
      </c>
      <c r="C90" s="12" t="s">
        <v>15</v>
      </c>
      <c r="D90" s="11" t="s">
        <v>15</v>
      </c>
      <c r="E90" s="13" t="s">
        <v>15</v>
      </c>
    </row>
    <row r="91" spans="1:5" x14ac:dyDescent="0.3">
      <c r="A91" s="24" t="s">
        <v>84</v>
      </c>
      <c r="B91" s="18">
        <f>[38]SCF!C88</f>
        <v>0</v>
      </c>
      <c r="C91" s="18">
        <v>23899726.68</v>
      </c>
      <c r="D91" s="18">
        <f t="shared" ref="D91:D98" si="19">+C91-B91</f>
        <v>23899726.68</v>
      </c>
      <c r="E91" s="19">
        <f>IFERROR(+D91/B91*100,0)</f>
        <v>0</v>
      </c>
    </row>
    <row r="92" spans="1:5" ht="15" customHeight="1" x14ac:dyDescent="0.3">
      <c r="A92" s="24" t="s">
        <v>85</v>
      </c>
      <c r="B92" s="18">
        <f>[38]SCF!C89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86</v>
      </c>
      <c r="B93" s="18">
        <f>[38]SCF!C90</f>
        <v>22886560</v>
      </c>
      <c r="C93" s="18">
        <v>11443279.98</v>
      </c>
      <c r="D93" s="18">
        <f t="shared" si="19"/>
        <v>-11443280.02</v>
      </c>
      <c r="E93" s="19">
        <f t="shared" si="20"/>
        <v>-50.000000087387534</v>
      </c>
    </row>
    <row r="94" spans="1:5" ht="15" customHeight="1" x14ac:dyDescent="0.3">
      <c r="A94" s="24" t="s">
        <v>87</v>
      </c>
      <c r="B94" s="18">
        <f>[38]SCF!C91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88</v>
      </c>
      <c r="B95" s="18">
        <f>[38]SCF!C92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89</v>
      </c>
      <c r="B96" s="18">
        <f>[38]SCF!C93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90</v>
      </c>
      <c r="B97" s="18">
        <f>[38]SCF!C94</f>
        <v>1027893.19</v>
      </c>
      <c r="C97" s="18">
        <v>12670042.729999999</v>
      </c>
      <c r="D97" s="18">
        <f t="shared" si="19"/>
        <v>11642149.539999999</v>
      </c>
      <c r="E97" s="19">
        <f t="shared" si="20"/>
        <v>1132.6224994252564</v>
      </c>
    </row>
    <row r="98" spans="1:5" ht="15" customHeight="1" x14ac:dyDescent="0.3">
      <c r="A98" s="30" t="s">
        <v>91</v>
      </c>
      <c r="B98" s="33">
        <f>SUM(B91:B97)</f>
        <v>23914453.190000001</v>
      </c>
      <c r="C98" s="31">
        <v>48013049.389999993</v>
      </c>
      <c r="D98" s="31">
        <f t="shared" si="19"/>
        <v>24098596.199999992</v>
      </c>
      <c r="E98" s="32">
        <f t="shared" ref="E98" si="21">+D98/B98*100</f>
        <v>100.77000719413059</v>
      </c>
    </row>
    <row r="99" spans="1:5" ht="15" customHeight="1" x14ac:dyDescent="0.3">
      <c r="A99" s="34" t="s">
        <v>92</v>
      </c>
      <c r="B99" s="35">
        <f>+B42-B88-B98</f>
        <v>54179002.240000308</v>
      </c>
      <c r="C99" s="36">
        <v>66796755.260000341</v>
      </c>
      <c r="D99" s="37" t="s">
        <v>15</v>
      </c>
      <c r="E99" s="38" t="s">
        <v>15</v>
      </c>
    </row>
    <row r="100" spans="1:5" ht="15" customHeight="1" x14ac:dyDescent="0.3">
      <c r="A100" s="39" t="s">
        <v>93</v>
      </c>
      <c r="B100" s="18">
        <f>[38]SCF!$C$97</f>
        <v>193014305.77000001</v>
      </c>
      <c r="C100" s="18">
        <v>257405041.91</v>
      </c>
      <c r="D100" s="40" t="s">
        <v>15</v>
      </c>
      <c r="E100" s="41" t="s">
        <v>15</v>
      </c>
    </row>
    <row r="101" spans="1:5" ht="15" customHeight="1" x14ac:dyDescent="0.3">
      <c r="A101" s="34" t="s">
        <v>94</v>
      </c>
      <c r="B101" s="35">
        <f>B99+B100</f>
        <v>247193308.01000032</v>
      </c>
      <c r="C101" s="36">
        <v>324201797.17000031</v>
      </c>
      <c r="D101" s="42" t="s">
        <v>15</v>
      </c>
      <c r="E101" s="43" t="s">
        <v>15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ZAMECO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+[39]SCF!$C$2</f>
        <v>ZAMECO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14</v>
      </c>
      <c r="B15" s="11" t="s">
        <v>15</v>
      </c>
      <c r="C15" s="12" t="s">
        <v>15</v>
      </c>
      <c r="D15" s="11" t="s">
        <v>15</v>
      </c>
      <c r="E15" s="13" t="s">
        <v>15</v>
      </c>
    </row>
    <row r="16" spans="1:5" ht="15" customHeight="1" x14ac:dyDescent="0.3">
      <c r="A16" s="14" t="s">
        <v>16</v>
      </c>
      <c r="B16" s="15">
        <f>[39]SCF!C12</f>
        <v>4277455949.9299998</v>
      </c>
      <c r="C16" s="15">
        <v>1426458315.6900001</v>
      </c>
      <c r="D16" s="15">
        <f>+C16-B16</f>
        <v>-2850997634.2399998</v>
      </c>
      <c r="E16" s="16">
        <f t="shared" ref="E16:E42" si="0">+D16/B16*100</f>
        <v>-66.651712317146277</v>
      </c>
    </row>
    <row r="17" spans="1:5" ht="15" customHeight="1" x14ac:dyDescent="0.3">
      <c r="A17" s="17" t="s">
        <v>17</v>
      </c>
      <c r="B17" s="18">
        <f>[39]SCF!C13</f>
        <v>3706061822</v>
      </c>
      <c r="C17" s="18">
        <v>1228090544.6500001</v>
      </c>
      <c r="D17" s="18">
        <f t="shared" ref="D17:D42" si="1">+C17-B17</f>
        <v>-2477971277.3499999</v>
      </c>
      <c r="E17" s="19">
        <f t="shared" ref="E17:E18" si="2">IFERROR(+D17/B17*100,0)</f>
        <v>-66.86265357583126</v>
      </c>
    </row>
    <row r="18" spans="1:5" ht="15" customHeight="1" x14ac:dyDescent="0.3">
      <c r="A18" s="17" t="s">
        <v>18</v>
      </c>
      <c r="B18" s="18">
        <f>[39]SCF!C14</f>
        <v>47966827</v>
      </c>
      <c r="C18" s="18">
        <v>23429197.069999997</v>
      </c>
      <c r="D18" s="18">
        <f t="shared" si="1"/>
        <v>-24537629.930000003</v>
      </c>
      <c r="E18" s="19">
        <f t="shared" si="2"/>
        <v>-51.155416075363924</v>
      </c>
    </row>
    <row r="19" spans="1:5" ht="15" customHeight="1" x14ac:dyDescent="0.3">
      <c r="A19" s="20" t="s">
        <v>19</v>
      </c>
      <c r="B19" s="15">
        <f>[39]SCF!C15</f>
        <v>38612052.93</v>
      </c>
      <c r="C19" s="21">
        <v>21480906.07</v>
      </c>
      <c r="D19" s="21">
        <f t="shared" si="1"/>
        <v>-17131146.859999999</v>
      </c>
      <c r="E19" s="22">
        <f t="shared" si="0"/>
        <v>-44.367355683100165</v>
      </c>
    </row>
    <row r="20" spans="1:5" ht="15" customHeight="1" x14ac:dyDescent="0.3">
      <c r="A20" s="23" t="s">
        <v>20</v>
      </c>
      <c r="B20" s="18">
        <f>[39]SCF!C16</f>
        <v>30101192.399999999</v>
      </c>
      <c r="C20" s="18">
        <v>17348903.240000002</v>
      </c>
      <c r="D20" s="18">
        <f t="shared" si="1"/>
        <v>-12752289.159999996</v>
      </c>
      <c r="E20" s="19">
        <f t="shared" ref="E20:E28" si="3">IFERROR(+D20/B20*100,0)</f>
        <v>-42.364730906806194</v>
      </c>
    </row>
    <row r="21" spans="1:5" ht="15" customHeight="1" x14ac:dyDescent="0.3">
      <c r="A21" s="23" t="s">
        <v>21</v>
      </c>
      <c r="B21" s="18">
        <f>[39]SCF!C17</f>
        <v>325134</v>
      </c>
      <c r="C21" s="18">
        <v>155556.18000000002</v>
      </c>
      <c r="D21" s="18">
        <f t="shared" si="1"/>
        <v>-169577.81999999998</v>
      </c>
      <c r="E21" s="19">
        <f t="shared" si="3"/>
        <v>-52.156286331174215</v>
      </c>
    </row>
    <row r="22" spans="1:5" ht="15" customHeight="1" x14ac:dyDescent="0.3">
      <c r="A22" s="23" t="s">
        <v>22</v>
      </c>
      <c r="B22" s="18">
        <f>[39]SCF!C18</f>
        <v>0</v>
      </c>
      <c r="C22" s="18">
        <v>58.08</v>
      </c>
      <c r="D22" s="18">
        <f t="shared" si="1"/>
        <v>58.08</v>
      </c>
      <c r="E22" s="19">
        <f t="shared" si="3"/>
        <v>0</v>
      </c>
    </row>
    <row r="23" spans="1:5" ht="15" customHeight="1" x14ac:dyDescent="0.3">
      <c r="A23" s="23" t="s">
        <v>23</v>
      </c>
      <c r="B23" s="18">
        <f>[39]SCF!C19</f>
        <v>0</v>
      </c>
      <c r="C23" s="18">
        <v>1793.19</v>
      </c>
      <c r="D23" s="18">
        <f t="shared" si="1"/>
        <v>1793.19</v>
      </c>
      <c r="E23" s="19">
        <f t="shared" si="3"/>
        <v>0</v>
      </c>
    </row>
    <row r="24" spans="1:5" ht="15" customHeight="1" x14ac:dyDescent="0.3">
      <c r="A24" s="23" t="s">
        <v>24</v>
      </c>
      <c r="B24" s="18">
        <f>[39]SCF!C20</f>
        <v>8185726.5300000003</v>
      </c>
      <c r="C24" s="18">
        <v>3974595.38</v>
      </c>
      <c r="D24" s="18">
        <f t="shared" si="1"/>
        <v>-4211131.1500000004</v>
      </c>
      <c r="E24" s="19">
        <f t="shared" si="3"/>
        <v>-51.444806207079587</v>
      </c>
    </row>
    <row r="25" spans="1:5" ht="15" customHeight="1" x14ac:dyDescent="0.3">
      <c r="A25" s="23" t="s">
        <v>25</v>
      </c>
      <c r="B25" s="18">
        <f>[39]SCF!C21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26</v>
      </c>
      <c r="B26" s="18">
        <f>[39]SCF!C22</f>
        <v>18800395</v>
      </c>
      <c r="C26" s="18">
        <v>198505.63999999998</v>
      </c>
      <c r="D26" s="18">
        <f t="shared" si="1"/>
        <v>-18601889.359999999</v>
      </c>
      <c r="E26" s="19">
        <f t="shared" si="3"/>
        <v>-98.944141120439227</v>
      </c>
    </row>
    <row r="27" spans="1:5" ht="15" customHeight="1" x14ac:dyDescent="0.3">
      <c r="A27" s="17" t="s">
        <v>27</v>
      </c>
      <c r="B27" s="18">
        <f>[39]SCF!C23</f>
        <v>459014853</v>
      </c>
      <c r="C27" s="18">
        <v>152351207.63999999</v>
      </c>
      <c r="D27" s="18">
        <f t="shared" si="1"/>
        <v>-306663645.36000001</v>
      </c>
      <c r="E27" s="19">
        <f t="shared" si="3"/>
        <v>-66.809089805205062</v>
      </c>
    </row>
    <row r="28" spans="1:5" ht="15" customHeight="1" x14ac:dyDescent="0.3">
      <c r="A28" s="17" t="s">
        <v>28</v>
      </c>
      <c r="B28" s="18">
        <f>[39]SCF!C24</f>
        <v>7000000</v>
      </c>
      <c r="C28" s="18">
        <v>907954.62000000011</v>
      </c>
      <c r="D28" s="18">
        <f t="shared" si="1"/>
        <v>-6092045.3799999999</v>
      </c>
      <c r="E28" s="19">
        <f t="shared" si="3"/>
        <v>-87.029219714285716</v>
      </c>
    </row>
    <row r="29" spans="1:5" ht="15" customHeight="1" x14ac:dyDescent="0.3">
      <c r="A29" s="14" t="s">
        <v>29</v>
      </c>
      <c r="B29" s="15">
        <f>[39]SCF!C25</f>
        <v>110471049</v>
      </c>
      <c r="C29" s="15">
        <v>67008555.310000002</v>
      </c>
      <c r="D29" s="15">
        <f t="shared" si="1"/>
        <v>-43462493.689999998</v>
      </c>
      <c r="E29" s="16">
        <f t="shared" si="0"/>
        <v>-39.342881310016345</v>
      </c>
    </row>
    <row r="30" spans="1:5" ht="15" customHeight="1" x14ac:dyDescent="0.3">
      <c r="A30" s="17" t="s">
        <v>30</v>
      </c>
      <c r="B30" s="18">
        <f>[39]SCF!C26</f>
        <v>8203200</v>
      </c>
      <c r="C30" s="18">
        <v>4646867.33</v>
      </c>
      <c r="D30" s="18">
        <f t="shared" si="1"/>
        <v>-3556332.67</v>
      </c>
      <c r="E30" s="19">
        <f t="shared" ref="E30:E32" si="4">IFERROR(+D30/B30*100,0)</f>
        <v>-43.352992368831671</v>
      </c>
    </row>
    <row r="31" spans="1:5" ht="15" customHeight="1" x14ac:dyDescent="0.3">
      <c r="A31" s="17" t="s">
        <v>31</v>
      </c>
      <c r="B31" s="18">
        <f>[39]SCF!C27</f>
        <v>700000</v>
      </c>
      <c r="C31" s="18">
        <v>51293.86</v>
      </c>
      <c r="D31" s="18">
        <f t="shared" si="1"/>
        <v>-648706.14</v>
      </c>
      <c r="E31" s="19">
        <f t="shared" si="4"/>
        <v>-92.672305714285713</v>
      </c>
    </row>
    <row r="32" spans="1:5" x14ac:dyDescent="0.3">
      <c r="A32" s="17" t="s">
        <v>32</v>
      </c>
      <c r="B32" s="18">
        <f>[39]SCF!C28</f>
        <v>101567849</v>
      </c>
      <c r="C32" s="18">
        <v>62310394.120000005</v>
      </c>
      <c r="D32" s="18">
        <f t="shared" si="1"/>
        <v>-39257454.879999995</v>
      </c>
      <c r="E32" s="19">
        <f t="shared" si="4"/>
        <v>-38.651458376360807</v>
      </c>
    </row>
    <row r="33" spans="1:5" x14ac:dyDescent="0.3">
      <c r="A33" s="14" t="s">
        <v>33</v>
      </c>
      <c r="B33" s="15">
        <f>[39]SCF!C29</f>
        <v>82666000</v>
      </c>
      <c r="C33" s="15">
        <v>0</v>
      </c>
      <c r="D33" s="15">
        <f t="shared" si="1"/>
        <v>-82666000</v>
      </c>
      <c r="E33" s="16">
        <f t="shared" si="0"/>
        <v>-100</v>
      </c>
    </row>
    <row r="34" spans="1:5" ht="15" customHeight="1" x14ac:dyDescent="0.3">
      <c r="A34" s="17" t="s">
        <v>34</v>
      </c>
      <c r="B34" s="18">
        <f>[39]SCF!C30</f>
        <v>49566000</v>
      </c>
      <c r="C34" s="18">
        <v>0</v>
      </c>
      <c r="D34" s="18">
        <f t="shared" si="1"/>
        <v>-49566000</v>
      </c>
      <c r="E34" s="19">
        <f t="shared" ref="E34:E41" si="5">IFERROR(+D34/B34*100,0)</f>
        <v>-100</v>
      </c>
    </row>
    <row r="35" spans="1:5" ht="15" customHeight="1" x14ac:dyDescent="0.3">
      <c r="A35" s="17" t="s">
        <v>35</v>
      </c>
      <c r="B35" s="18">
        <f>[39]SCF!C31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36</v>
      </c>
      <c r="B36" s="18">
        <f>[39]SCF!C32</f>
        <v>33100000</v>
      </c>
      <c r="C36" s="18">
        <v>0</v>
      </c>
      <c r="D36" s="18">
        <f t="shared" si="1"/>
        <v>-33100000</v>
      </c>
      <c r="E36" s="19">
        <f t="shared" si="5"/>
        <v>-100</v>
      </c>
    </row>
    <row r="37" spans="1:5" ht="15" customHeight="1" x14ac:dyDescent="0.3">
      <c r="A37" s="17" t="s">
        <v>37</v>
      </c>
      <c r="B37" s="18">
        <f>[39]SCF!C33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38</v>
      </c>
      <c r="B38" s="18">
        <f>[39]SCF!C34</f>
        <v>12000000</v>
      </c>
      <c r="C38" s="18">
        <v>0</v>
      </c>
      <c r="D38" s="18">
        <f t="shared" si="1"/>
        <v>-12000000</v>
      </c>
      <c r="E38" s="19">
        <f t="shared" si="5"/>
        <v>-100</v>
      </c>
    </row>
    <row r="39" spans="1:5" ht="15" customHeight="1" x14ac:dyDescent="0.3">
      <c r="A39" s="24" t="s">
        <v>39</v>
      </c>
      <c r="B39" s="18">
        <f>[39]SCF!C35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40</v>
      </c>
      <c r="B40" s="18">
        <f>[39]SCF!C36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41</v>
      </c>
      <c r="B41" s="18">
        <f>[39]SCF!C37</f>
        <v>7750000</v>
      </c>
      <c r="C41" s="18">
        <v>64235960.460000001</v>
      </c>
      <c r="D41" s="18">
        <f t="shared" si="1"/>
        <v>56485960.460000001</v>
      </c>
      <c r="E41" s="19">
        <f t="shared" si="5"/>
        <v>728.85110270967743</v>
      </c>
    </row>
    <row r="42" spans="1:5" ht="15" customHeight="1" x14ac:dyDescent="0.3">
      <c r="A42" s="25" t="s">
        <v>42</v>
      </c>
      <c r="B42" s="26">
        <f>[39]SCF!C38</f>
        <v>4490342998.9300003</v>
      </c>
      <c r="C42" s="27">
        <v>1557702831.46</v>
      </c>
      <c r="D42" s="27">
        <f t="shared" si="1"/>
        <v>-2932640167.4700003</v>
      </c>
      <c r="E42" s="28">
        <f t="shared" si="0"/>
        <v>-65.309936638889639</v>
      </c>
    </row>
    <row r="43" spans="1:5" ht="18" customHeight="1" x14ac:dyDescent="0.3">
      <c r="A43" s="29" t="s">
        <v>15</v>
      </c>
      <c r="B43" s="3"/>
      <c r="C43" s="3"/>
      <c r="D43" s="3"/>
      <c r="E43" s="3"/>
    </row>
    <row r="44" spans="1:5" ht="15" customHeight="1" x14ac:dyDescent="0.3">
      <c r="A44" s="10" t="s">
        <v>43</v>
      </c>
      <c r="B44" s="11" t="s">
        <v>15</v>
      </c>
      <c r="C44" s="12" t="s">
        <v>15</v>
      </c>
      <c r="D44" s="11" t="s">
        <v>15</v>
      </c>
      <c r="E44" s="13" t="s">
        <v>15</v>
      </c>
    </row>
    <row r="45" spans="1:5" ht="15" customHeight="1" x14ac:dyDescent="0.3">
      <c r="A45" s="24" t="s">
        <v>44</v>
      </c>
      <c r="B45" s="18">
        <f>[39]SCF!C41</f>
        <v>3311819780</v>
      </c>
      <c r="C45" s="18">
        <v>1063362912.99</v>
      </c>
      <c r="D45" s="18">
        <f>C45-B45</f>
        <v>-2248456867.0100002</v>
      </c>
      <c r="E45" s="19">
        <f>IFERROR(+D45/B45*100,0)</f>
        <v>-67.891884715115765</v>
      </c>
    </row>
    <row r="46" spans="1:5" ht="15" customHeight="1" x14ac:dyDescent="0.3">
      <c r="A46" s="14" t="s">
        <v>45</v>
      </c>
      <c r="B46" s="15">
        <f>[39]SCF!C42</f>
        <v>277924507</v>
      </c>
      <c r="C46" s="15">
        <v>111655167.39999998</v>
      </c>
      <c r="D46" s="15">
        <f t="shared" ref="D46:D61" si="6">+B46-C46</f>
        <v>166269339.60000002</v>
      </c>
      <c r="E46" s="16">
        <f t="shared" ref="E46" si="7">+D46/B46*100</f>
        <v>59.825360992724555</v>
      </c>
    </row>
    <row r="47" spans="1:5" ht="15" customHeight="1" x14ac:dyDescent="0.3">
      <c r="A47" s="17" t="s">
        <v>46</v>
      </c>
      <c r="B47" s="18">
        <f>[39]SCF!C43</f>
        <v>114666977</v>
      </c>
      <c r="C47" s="18">
        <v>61491092.129999995</v>
      </c>
      <c r="D47" s="18">
        <f t="shared" si="6"/>
        <v>53175884.870000005</v>
      </c>
      <c r="E47" s="19">
        <f t="shared" ref="E47:E61" si="8">IFERROR(+D47/B47*100,0)</f>
        <v>46.374192693681984</v>
      </c>
    </row>
    <row r="48" spans="1:5" ht="15" customHeight="1" x14ac:dyDescent="0.3">
      <c r="A48" s="17" t="s">
        <v>47</v>
      </c>
      <c r="B48" s="18">
        <f>[39]SCF!C44</f>
        <v>10353847</v>
      </c>
      <c r="C48" s="18">
        <v>4979346.5</v>
      </c>
      <c r="D48" s="18">
        <f t="shared" si="6"/>
        <v>5374500.5</v>
      </c>
      <c r="E48" s="19">
        <f t="shared" si="8"/>
        <v>51.908247243753934</v>
      </c>
    </row>
    <row r="49" spans="1:5" ht="15" customHeight="1" x14ac:dyDescent="0.3">
      <c r="A49" s="17" t="s">
        <v>48</v>
      </c>
      <c r="B49" s="18">
        <f>[39]SCF!C45</f>
        <v>31641889</v>
      </c>
      <c r="C49" s="18">
        <v>14209004.539999999</v>
      </c>
      <c r="D49" s="18">
        <f t="shared" si="6"/>
        <v>17432884.460000001</v>
      </c>
      <c r="E49" s="19">
        <f t="shared" si="8"/>
        <v>55.094322782056402</v>
      </c>
    </row>
    <row r="50" spans="1:5" ht="15" customHeight="1" x14ac:dyDescent="0.3">
      <c r="A50" s="17" t="s">
        <v>49</v>
      </c>
      <c r="B50" s="18">
        <f>[39]SCF!C46</f>
        <v>2838000</v>
      </c>
      <c r="C50" s="18">
        <v>991479.14</v>
      </c>
      <c r="D50" s="18">
        <f t="shared" si="6"/>
        <v>1846520.8599999999</v>
      </c>
      <c r="E50" s="19">
        <f t="shared" si="8"/>
        <v>65.064159971811137</v>
      </c>
    </row>
    <row r="51" spans="1:5" ht="15" customHeight="1" x14ac:dyDescent="0.3">
      <c r="A51" s="17" t="s">
        <v>50</v>
      </c>
      <c r="B51" s="18">
        <f>[39]SCF!C47</f>
        <v>11832360</v>
      </c>
      <c r="C51" s="18">
        <v>4000839.4200000004</v>
      </c>
      <c r="D51" s="18">
        <f t="shared" si="6"/>
        <v>7831520.5800000001</v>
      </c>
      <c r="E51" s="19">
        <f t="shared" si="8"/>
        <v>66.187308195491013</v>
      </c>
    </row>
    <row r="52" spans="1:5" x14ac:dyDescent="0.3">
      <c r="A52" s="17" t="s">
        <v>51</v>
      </c>
      <c r="B52" s="18">
        <f>[39]SCF!C48</f>
        <v>3000000</v>
      </c>
      <c r="C52" s="18">
        <v>1958681.75</v>
      </c>
      <c r="D52" s="18">
        <f t="shared" si="6"/>
        <v>1041318.25</v>
      </c>
      <c r="E52" s="19">
        <f t="shared" si="8"/>
        <v>34.710608333333333</v>
      </c>
    </row>
    <row r="53" spans="1:5" ht="15" customHeight="1" x14ac:dyDescent="0.3">
      <c r="A53" s="17" t="s">
        <v>52</v>
      </c>
      <c r="B53" s="18">
        <f>[39]SCF!C49</f>
        <v>8568000</v>
      </c>
      <c r="C53" s="18">
        <v>3936874.8599999994</v>
      </c>
      <c r="D53" s="18">
        <f t="shared" si="6"/>
        <v>4631125.1400000006</v>
      </c>
      <c r="E53" s="19">
        <f t="shared" si="8"/>
        <v>54.05141386554623</v>
      </c>
    </row>
    <row r="54" spans="1:5" ht="15" customHeight="1" x14ac:dyDescent="0.3">
      <c r="A54" s="17" t="s">
        <v>53</v>
      </c>
      <c r="B54" s="18">
        <f>[39]SCF!C50</f>
        <v>19239000</v>
      </c>
      <c r="C54" s="18">
        <v>2433554.6</v>
      </c>
      <c r="D54" s="18">
        <f t="shared" si="6"/>
        <v>16805445.399999999</v>
      </c>
      <c r="E54" s="19">
        <f t="shared" si="8"/>
        <v>87.35092988201049</v>
      </c>
    </row>
    <row r="55" spans="1:5" ht="15" customHeight="1" x14ac:dyDescent="0.3">
      <c r="A55" s="17" t="s">
        <v>54</v>
      </c>
      <c r="B55" s="18">
        <f>[39]SCF!C51</f>
        <v>2766600</v>
      </c>
      <c r="C55" s="18">
        <v>1149207.6299999999</v>
      </c>
      <c r="D55" s="18">
        <f t="shared" si="6"/>
        <v>1617392.37</v>
      </c>
      <c r="E55" s="19">
        <f t="shared" si="8"/>
        <v>58.461373888527433</v>
      </c>
    </row>
    <row r="56" spans="1:5" ht="15" customHeight="1" x14ac:dyDescent="0.3">
      <c r="A56" s="17" t="s">
        <v>55</v>
      </c>
      <c r="B56" s="18">
        <f>[39]SCF!C52</f>
        <v>3306000</v>
      </c>
      <c r="C56" s="18">
        <v>1370165.25</v>
      </c>
      <c r="D56" s="18">
        <f t="shared" si="6"/>
        <v>1935834.75</v>
      </c>
      <c r="E56" s="19">
        <f t="shared" si="8"/>
        <v>58.555195099818512</v>
      </c>
    </row>
    <row r="57" spans="1:5" ht="15" customHeight="1" x14ac:dyDescent="0.3">
      <c r="A57" s="17" t="s">
        <v>56</v>
      </c>
      <c r="B57" s="18">
        <f>[39]SCF!C53</f>
        <v>15014400</v>
      </c>
      <c r="C57" s="18">
        <v>6449234.8700000001</v>
      </c>
      <c r="D57" s="18">
        <f t="shared" si="6"/>
        <v>8565165.129999999</v>
      </c>
      <c r="E57" s="19">
        <f t="shared" si="8"/>
        <v>57.046336383738272</v>
      </c>
    </row>
    <row r="58" spans="1:5" ht="15" customHeight="1" x14ac:dyDescent="0.3">
      <c r="A58" s="17" t="s">
        <v>57</v>
      </c>
      <c r="B58" s="18">
        <f>[39]SCF!C54</f>
        <v>3590000</v>
      </c>
      <c r="C58" s="18">
        <v>1098602.3799999999</v>
      </c>
      <c r="D58" s="18">
        <f t="shared" si="6"/>
        <v>2491397.62</v>
      </c>
      <c r="E58" s="19">
        <f t="shared" si="8"/>
        <v>69.398262395543171</v>
      </c>
    </row>
    <row r="59" spans="1:5" ht="15" customHeight="1" x14ac:dyDescent="0.3">
      <c r="A59" s="17" t="s">
        <v>58</v>
      </c>
      <c r="B59" s="18">
        <f>[39]SCF!C55</f>
        <v>33880000</v>
      </c>
      <c r="C59" s="18">
        <v>2674659.7800000003</v>
      </c>
      <c r="D59" s="18">
        <f t="shared" si="6"/>
        <v>31205340.219999999</v>
      </c>
      <c r="E59" s="19">
        <f t="shared" si="8"/>
        <v>92.105490613931522</v>
      </c>
    </row>
    <row r="60" spans="1:5" ht="15" customHeight="1" x14ac:dyDescent="0.3">
      <c r="A60" s="17" t="s">
        <v>59</v>
      </c>
      <c r="B60" s="18">
        <f>[39]SCF!C56</f>
        <v>10900000</v>
      </c>
      <c r="C60" s="18">
        <v>2712486.49</v>
      </c>
      <c r="D60" s="18">
        <f t="shared" si="6"/>
        <v>8187513.5099999998</v>
      </c>
      <c r="E60" s="19">
        <f t="shared" si="8"/>
        <v>75.114802844036703</v>
      </c>
    </row>
    <row r="61" spans="1:5" ht="15" customHeight="1" x14ac:dyDescent="0.3">
      <c r="A61" s="17" t="s">
        <v>60</v>
      </c>
      <c r="B61" s="18">
        <f>[39]SCF!C57</f>
        <v>6327434</v>
      </c>
      <c r="C61" s="18">
        <v>2199938.0599999996</v>
      </c>
      <c r="D61" s="18">
        <f t="shared" si="6"/>
        <v>4127495.9400000004</v>
      </c>
      <c r="E61" s="19">
        <f t="shared" si="8"/>
        <v>65.231750184988101</v>
      </c>
    </row>
    <row r="62" spans="1:5" ht="15" customHeight="1" x14ac:dyDescent="0.3">
      <c r="A62" s="10" t="s">
        <v>61</v>
      </c>
      <c r="B62" s="11" t="s">
        <v>15</v>
      </c>
      <c r="C62" s="18"/>
      <c r="D62" s="11" t="s">
        <v>15</v>
      </c>
      <c r="E62" s="13" t="s">
        <v>15</v>
      </c>
    </row>
    <row r="63" spans="1:5" x14ac:dyDescent="0.3">
      <c r="A63" s="24" t="s">
        <v>62</v>
      </c>
      <c r="B63" s="18">
        <f>[39]SCF!C60</f>
        <v>7563895</v>
      </c>
      <c r="C63" s="18">
        <v>0</v>
      </c>
      <c r="D63" s="18">
        <f t="shared" ref="D63:D67" si="9">C63-B63</f>
        <v>-7563895</v>
      </c>
      <c r="E63" s="19">
        <f t="shared" ref="E63:E67" si="10">IFERROR(+D63/B63*100,0)</f>
        <v>-100</v>
      </c>
    </row>
    <row r="64" spans="1:5" x14ac:dyDescent="0.3">
      <c r="A64" s="24" t="s">
        <v>63</v>
      </c>
      <c r="B64" s="18">
        <f>[39]SCF!C61</f>
        <v>43457440.670000002</v>
      </c>
      <c r="C64" s="18">
        <v>22363837.890000001</v>
      </c>
      <c r="D64" s="18">
        <f t="shared" si="9"/>
        <v>-21093602.780000001</v>
      </c>
      <c r="E64" s="19">
        <f t="shared" si="10"/>
        <v>-48.538529777160946</v>
      </c>
    </row>
    <row r="65" spans="1:5" ht="15" customHeight="1" x14ac:dyDescent="0.3">
      <c r="A65" s="24" t="s">
        <v>64</v>
      </c>
      <c r="B65" s="18">
        <f>[39]SCF!C62</f>
        <v>17361425.109999999</v>
      </c>
      <c r="C65" s="18">
        <v>5170830.9400000004</v>
      </c>
      <c r="D65" s="18">
        <f t="shared" si="9"/>
        <v>-12190594.169999998</v>
      </c>
      <c r="E65" s="19">
        <f t="shared" si="10"/>
        <v>-70.216552459039463</v>
      </c>
    </row>
    <row r="66" spans="1:5" ht="15" customHeight="1" x14ac:dyDescent="0.3">
      <c r="A66" s="24" t="s">
        <v>65</v>
      </c>
      <c r="B66" s="18">
        <f>[39]SCF!C63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66</v>
      </c>
      <c r="B67" s="18">
        <f>[39]SCF!C64</f>
        <v>1700000</v>
      </c>
      <c r="C67" s="18">
        <v>1375430.45</v>
      </c>
      <c r="D67" s="18">
        <f t="shared" si="9"/>
        <v>-324569.55000000005</v>
      </c>
      <c r="E67" s="19">
        <f t="shared" si="10"/>
        <v>-19.09232647058824</v>
      </c>
    </row>
    <row r="68" spans="1:5" ht="15" customHeight="1" x14ac:dyDescent="0.3">
      <c r="A68" s="30" t="s">
        <v>67</v>
      </c>
      <c r="B68" s="15">
        <f>+B63+B64+B65+B66+B67</f>
        <v>70082760.780000001</v>
      </c>
      <c r="C68" s="31">
        <v>28910099.280000001</v>
      </c>
      <c r="D68" s="31">
        <f t="shared" ref="D68" si="11">+C68-B68</f>
        <v>-41172661.5</v>
      </c>
      <c r="E68" s="32">
        <f t="shared" ref="E68" si="12">+D68/B68*100</f>
        <v>-58.748629537079722</v>
      </c>
    </row>
    <row r="69" spans="1:5" ht="15" customHeight="1" x14ac:dyDescent="0.3">
      <c r="A69" s="10" t="s">
        <v>68</v>
      </c>
      <c r="B69" s="11" t="s">
        <v>15</v>
      </c>
      <c r="C69" s="12" t="s">
        <v>15</v>
      </c>
      <c r="D69" s="11" t="s">
        <v>15</v>
      </c>
      <c r="E69" s="13" t="s">
        <v>15</v>
      </c>
    </row>
    <row r="70" spans="1:5" ht="15" customHeight="1" x14ac:dyDescent="0.3">
      <c r="A70" s="14" t="s">
        <v>69</v>
      </c>
      <c r="B70" s="15">
        <f>[39]SCF!C67</f>
        <v>38612052.93</v>
      </c>
      <c r="C70" s="15">
        <v>20567766.040000003</v>
      </c>
      <c r="D70" s="15">
        <f t="shared" ref="D70:D82" si="13">+C70-B70</f>
        <v>-18044286.889999997</v>
      </c>
      <c r="E70" s="16">
        <f t="shared" ref="E70:E82" si="14">+D70/B70*100</f>
        <v>-46.732264981384397</v>
      </c>
    </row>
    <row r="71" spans="1:5" ht="15" customHeight="1" x14ac:dyDescent="0.3">
      <c r="A71" s="17" t="s">
        <v>20</v>
      </c>
      <c r="B71" s="18">
        <f>[39]SCF!C68</f>
        <v>30101192.399999999</v>
      </c>
      <c r="C71" s="18">
        <v>16505264.600000001</v>
      </c>
      <c r="D71" s="18">
        <f t="shared" si="13"/>
        <v>-13595927.799999997</v>
      </c>
      <c r="E71" s="19">
        <f t="shared" ref="E71:E81" si="15">IFERROR(+D71/B71*100,0)</f>
        <v>-45.167406059302813</v>
      </c>
    </row>
    <row r="72" spans="1:5" ht="15" customHeight="1" x14ac:dyDescent="0.3">
      <c r="A72" s="17" t="s">
        <v>21</v>
      </c>
      <c r="B72" s="18">
        <f>[39]SCF!C69</f>
        <v>325134</v>
      </c>
      <c r="C72" s="18">
        <v>152938.13</v>
      </c>
      <c r="D72" s="18">
        <f t="shared" si="13"/>
        <v>-172195.87</v>
      </c>
      <c r="E72" s="19">
        <f t="shared" si="15"/>
        <v>-52.96150817816654</v>
      </c>
    </row>
    <row r="73" spans="1:5" ht="15" customHeight="1" x14ac:dyDescent="0.3">
      <c r="A73" s="17" t="s">
        <v>22</v>
      </c>
      <c r="B73" s="18">
        <f>[39]SCF!C70</f>
        <v>0</v>
      </c>
      <c r="C73" s="18">
        <v>70.610000000000014</v>
      </c>
      <c r="D73" s="18">
        <f t="shared" si="13"/>
        <v>70.610000000000014</v>
      </c>
      <c r="E73" s="19">
        <f t="shared" si="15"/>
        <v>0</v>
      </c>
    </row>
    <row r="74" spans="1:5" ht="15" customHeight="1" x14ac:dyDescent="0.3">
      <c r="A74" s="17" t="s">
        <v>70</v>
      </c>
      <c r="B74" s="18">
        <f>[39]SCF!C71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24</v>
      </c>
      <c r="B75" s="18">
        <f>[39]SCF!C72</f>
        <v>8185726.5300000003</v>
      </c>
      <c r="C75" s="18">
        <v>3909492.6999999997</v>
      </c>
      <c r="D75" s="18">
        <f t="shared" si="13"/>
        <v>-4276233.83</v>
      </c>
      <c r="E75" s="19">
        <f t="shared" si="15"/>
        <v>-52.240125715511773</v>
      </c>
    </row>
    <row r="76" spans="1:5" ht="15" customHeight="1" x14ac:dyDescent="0.3">
      <c r="A76" s="17" t="s">
        <v>25</v>
      </c>
      <c r="B76" s="18">
        <f>[39]SCF!C73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71</v>
      </c>
      <c r="B77" s="18">
        <f>[39]SCF!C74</f>
        <v>18800395.289999999</v>
      </c>
      <c r="C77" s="18">
        <v>738808.57</v>
      </c>
      <c r="D77" s="18">
        <f t="shared" ref="D77:D81" si="16">C77-B77</f>
        <v>-18061586.719999999</v>
      </c>
      <c r="E77" s="19">
        <f t="shared" si="15"/>
        <v>-96.07024980802943</v>
      </c>
    </row>
    <row r="78" spans="1:5" x14ac:dyDescent="0.3">
      <c r="A78" s="24" t="s">
        <v>72</v>
      </c>
      <c r="B78" s="18">
        <f>[39]SCF!C75</f>
        <v>459014852.54000002</v>
      </c>
      <c r="C78" s="18">
        <v>138045196.49000001</v>
      </c>
      <c r="D78" s="18">
        <f t="shared" si="16"/>
        <v>-320969656.05000001</v>
      </c>
      <c r="E78" s="19">
        <f t="shared" si="15"/>
        <v>-69.925766949345004</v>
      </c>
    </row>
    <row r="79" spans="1:5" ht="15" customHeight="1" x14ac:dyDescent="0.3">
      <c r="A79" s="24" t="s">
        <v>73</v>
      </c>
      <c r="B79" s="18">
        <f>[39]SCF!C76</f>
        <v>25660000</v>
      </c>
      <c r="C79" s="18">
        <v>21801706.73</v>
      </c>
      <c r="D79" s="18">
        <f t="shared" si="16"/>
        <v>-3858293.2699999996</v>
      </c>
      <c r="E79" s="19">
        <f t="shared" si="15"/>
        <v>-15.036216952455181</v>
      </c>
    </row>
    <row r="80" spans="1:5" x14ac:dyDescent="0.3">
      <c r="A80" s="24" t="s">
        <v>74</v>
      </c>
      <c r="B80" s="18">
        <f>[39]SCF!C77</f>
        <v>6200000</v>
      </c>
      <c r="C80" s="18">
        <v>3972540.04</v>
      </c>
      <c r="D80" s="18">
        <f t="shared" si="16"/>
        <v>-2227459.96</v>
      </c>
      <c r="E80" s="19">
        <f t="shared" si="15"/>
        <v>-35.926773548387096</v>
      </c>
    </row>
    <row r="81" spans="1:5" x14ac:dyDescent="0.3">
      <c r="A81" s="24" t="s">
        <v>75</v>
      </c>
      <c r="B81" s="18">
        <f>[39]SCF!C78</f>
        <v>0</v>
      </c>
      <c r="C81" s="18">
        <v>111880053.86</v>
      </c>
      <c r="D81" s="18">
        <f t="shared" si="16"/>
        <v>111880053.86</v>
      </c>
      <c r="E81" s="19">
        <f t="shared" si="15"/>
        <v>0</v>
      </c>
    </row>
    <row r="82" spans="1:5" ht="15" customHeight="1" x14ac:dyDescent="0.3">
      <c r="A82" s="30" t="s">
        <v>76</v>
      </c>
      <c r="B82" s="15">
        <f>+B70+B77+B78+B79+B80+B81</f>
        <v>548287300.75999999</v>
      </c>
      <c r="C82" s="31">
        <v>297006071.73000002</v>
      </c>
      <c r="D82" s="31">
        <f t="shared" si="13"/>
        <v>-251281229.02999997</v>
      </c>
      <c r="E82" s="32">
        <f t="shared" si="14"/>
        <v>-45.830211402250306</v>
      </c>
    </row>
    <row r="83" spans="1:5" ht="15" customHeight="1" x14ac:dyDescent="0.3">
      <c r="A83" s="10" t="s">
        <v>77</v>
      </c>
      <c r="B83" s="11" t="s">
        <v>15</v>
      </c>
      <c r="C83" s="12" t="s">
        <v>15</v>
      </c>
      <c r="D83" s="11" t="s">
        <v>15</v>
      </c>
      <c r="E83" s="13" t="s">
        <v>15</v>
      </c>
    </row>
    <row r="84" spans="1:5" ht="15" customHeight="1" x14ac:dyDescent="0.3">
      <c r="A84" s="24" t="s">
        <v>78</v>
      </c>
      <c r="B84" s="18">
        <f>[39]SCF!C81</f>
        <v>12000000</v>
      </c>
      <c r="C84" s="18">
        <v>0</v>
      </c>
      <c r="D84" s="18">
        <f t="shared" ref="D84:D88" si="17">+C84-B84</f>
        <v>-12000000</v>
      </c>
      <c r="E84" s="19">
        <f t="shared" ref="E84:E86" si="18">IFERROR(+D84/B84*100,0)</f>
        <v>-100</v>
      </c>
    </row>
    <row r="85" spans="1:5" ht="15" customHeight="1" x14ac:dyDescent="0.3">
      <c r="A85" s="24" t="s">
        <v>79</v>
      </c>
      <c r="B85" s="18">
        <f>[39]SCF!C82</f>
        <v>159691378</v>
      </c>
      <c r="C85" s="18">
        <v>9914331.6799999997</v>
      </c>
      <c r="D85" s="18">
        <f t="shared" si="17"/>
        <v>-149777046.31999999</v>
      </c>
      <c r="E85" s="19">
        <f t="shared" si="18"/>
        <v>-93.791567331831772</v>
      </c>
    </row>
    <row r="86" spans="1:5" ht="15" customHeight="1" x14ac:dyDescent="0.3">
      <c r="A86" s="24" t="s">
        <v>80</v>
      </c>
      <c r="B86" s="18">
        <f>[39]SCF!C83</f>
        <v>150647038</v>
      </c>
      <c r="C86" s="18">
        <v>7639883.0800000001</v>
      </c>
      <c r="D86" s="18">
        <f t="shared" si="17"/>
        <v>-143007154.91999999</v>
      </c>
      <c r="E86" s="19">
        <f t="shared" si="18"/>
        <v>-94.928620448548074</v>
      </c>
    </row>
    <row r="87" spans="1:5" ht="15" customHeight="1" x14ac:dyDescent="0.3">
      <c r="A87" s="30" t="s">
        <v>81</v>
      </c>
      <c r="B87" s="33">
        <f>+B84+B85+B86</f>
        <v>322338416</v>
      </c>
      <c r="C87" s="31">
        <v>17554214.759999998</v>
      </c>
      <c r="D87" s="31">
        <f t="shared" si="17"/>
        <v>-304784201.24000001</v>
      </c>
      <c r="E87" s="32">
        <f>+D87/B87*100</f>
        <v>-94.554104044489691</v>
      </c>
    </row>
    <row r="88" spans="1:5" ht="18" customHeight="1" x14ac:dyDescent="0.3">
      <c r="A88" s="25" t="s">
        <v>82</v>
      </c>
      <c r="B88" s="27">
        <f>+B45+B46+B68+B82+B87</f>
        <v>4530452764.54</v>
      </c>
      <c r="C88" s="27">
        <v>1518488466.1599998</v>
      </c>
      <c r="D88" s="27">
        <f t="shared" si="17"/>
        <v>-3011964298.3800001</v>
      </c>
      <c r="E88" s="28">
        <f>+D88/B88*100</f>
        <v>-66.48263330223287</v>
      </c>
    </row>
    <row r="89" spans="1:5" x14ac:dyDescent="0.3">
      <c r="A89" s="29" t="s">
        <v>15</v>
      </c>
      <c r="B89" s="3"/>
      <c r="C89" s="3"/>
      <c r="D89" s="3"/>
      <c r="E89" s="3"/>
    </row>
    <row r="90" spans="1:5" ht="15" customHeight="1" x14ac:dyDescent="0.3">
      <c r="A90" s="10" t="s">
        <v>83</v>
      </c>
      <c r="B90" s="11" t="s">
        <v>15</v>
      </c>
      <c r="C90" s="12" t="s">
        <v>15</v>
      </c>
      <c r="D90" s="11" t="s">
        <v>15</v>
      </c>
      <c r="E90" s="13" t="s">
        <v>15</v>
      </c>
    </row>
    <row r="91" spans="1:5" x14ac:dyDescent="0.3">
      <c r="A91" s="24" t="s">
        <v>84</v>
      </c>
      <c r="B91" s="18">
        <f>[39]SCF!C88</f>
        <v>0</v>
      </c>
      <c r="C91" s="18">
        <v>0</v>
      </c>
      <c r="D91" s="18">
        <f t="shared" ref="D91:D98" si="19">+C91-B91</f>
        <v>0</v>
      </c>
      <c r="E91" s="19">
        <f>IFERROR(+D91/B91*100,0)</f>
        <v>0</v>
      </c>
    </row>
    <row r="92" spans="1:5" ht="15" customHeight="1" x14ac:dyDescent="0.3">
      <c r="A92" s="24" t="s">
        <v>85</v>
      </c>
      <c r="B92" s="18">
        <f>[39]SCF!C89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86</v>
      </c>
      <c r="B93" s="18">
        <f>[39]SCF!C90</f>
        <v>26052260</v>
      </c>
      <c r="C93" s="18">
        <v>6524888.3300000001</v>
      </c>
      <c r="D93" s="18">
        <f t="shared" si="19"/>
        <v>-19527371.670000002</v>
      </c>
      <c r="E93" s="19">
        <f t="shared" si="20"/>
        <v>-74.954616873929552</v>
      </c>
    </row>
    <row r="94" spans="1:5" ht="15" customHeight="1" x14ac:dyDescent="0.3">
      <c r="A94" s="24" t="s">
        <v>87</v>
      </c>
      <c r="B94" s="18">
        <f>[39]SCF!C91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88</v>
      </c>
      <c r="B95" s="18">
        <f>[39]SCF!C92</f>
        <v>11918500</v>
      </c>
      <c r="C95" s="18">
        <v>0</v>
      </c>
      <c r="D95" s="18">
        <f t="shared" si="19"/>
        <v>-11918500</v>
      </c>
      <c r="E95" s="19">
        <f t="shared" si="20"/>
        <v>-100</v>
      </c>
    </row>
    <row r="96" spans="1:5" ht="15" customHeight="1" x14ac:dyDescent="0.3">
      <c r="A96" s="24" t="s">
        <v>89</v>
      </c>
      <c r="B96" s="18">
        <f>[39]SCF!C93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90</v>
      </c>
      <c r="B97" s="18">
        <f>[39]SCF!C94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91</v>
      </c>
      <c r="B98" s="33">
        <f>SUM(B91:B97)</f>
        <v>37970760</v>
      </c>
      <c r="C98" s="31">
        <v>6524888.3300000001</v>
      </c>
      <c r="D98" s="31">
        <f t="shared" si="19"/>
        <v>-31445871.670000002</v>
      </c>
      <c r="E98" s="32">
        <f t="shared" ref="E98" si="21">+D98/B98*100</f>
        <v>-82.816018615376677</v>
      </c>
    </row>
    <row r="99" spans="1:5" ht="15" customHeight="1" x14ac:dyDescent="0.3">
      <c r="A99" s="34" t="s">
        <v>92</v>
      </c>
      <c r="B99" s="35">
        <f>+B42-B88-B98</f>
        <v>-78080525.609999657</v>
      </c>
      <c r="C99" s="36">
        <v>32689476.970000193</v>
      </c>
      <c r="D99" s="37" t="s">
        <v>15</v>
      </c>
      <c r="E99" s="38" t="s">
        <v>15</v>
      </c>
    </row>
    <row r="100" spans="1:5" ht="15" customHeight="1" x14ac:dyDescent="0.3">
      <c r="A100" s="39" t="s">
        <v>93</v>
      </c>
      <c r="B100" s="18">
        <f>[39]SCF!$C$97</f>
        <v>88761449</v>
      </c>
      <c r="C100" s="18">
        <v>96553001.099999994</v>
      </c>
      <c r="D100" s="40" t="s">
        <v>15</v>
      </c>
      <c r="E100" s="41" t="s">
        <v>15</v>
      </c>
    </row>
    <row r="101" spans="1:5" ht="15" customHeight="1" x14ac:dyDescent="0.3">
      <c r="A101" s="34" t="s">
        <v>94</v>
      </c>
      <c r="B101" s="35">
        <f>B99+B100</f>
        <v>10680923.390000343</v>
      </c>
      <c r="C101" s="36">
        <v>129242478.07000019</v>
      </c>
      <c r="D101" s="42" t="s">
        <v>15</v>
      </c>
      <c r="E101" s="43" t="s">
        <v>15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03"/>
  <sheetViews>
    <sheetView showGridLines="0" zoomScaleNormal="100" workbookViewId="0">
      <selection activeCell="F24" sqref="F24"/>
    </sheetView>
  </sheetViews>
  <sheetFormatPr defaultRowHeight="14.4" outlineLevelCol="1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1" width="23.5546875" style="1" customWidth="1" outlineLevel="1"/>
    <col min="12" max="16384" width="8.88671875" style="1"/>
  </cols>
  <sheetData>
    <row r="1" spans="1:11" ht="16.95" customHeight="1" x14ac:dyDescent="0.3">
      <c r="B1" s="2" t="s">
        <v>0</v>
      </c>
    </row>
    <row r="2" spans="1:11" ht="12.9" customHeight="1" x14ac:dyDescent="0.3">
      <c r="A2" s="3"/>
      <c r="B2" s="4" t="s">
        <v>1</v>
      </c>
      <c r="C2" s="3"/>
      <c r="D2" s="3"/>
    </row>
    <row r="3" spans="1:11" ht="0.6" customHeight="1" x14ac:dyDescent="0.3">
      <c r="A3" s="3"/>
    </row>
    <row r="4" spans="1:11" ht="0.45" customHeight="1" x14ac:dyDescent="0.3">
      <c r="A4" s="3"/>
      <c r="E4" s="3"/>
      <c r="F4" s="3"/>
      <c r="G4" s="3"/>
    </row>
    <row r="5" spans="1:11" ht="4.95" customHeight="1" x14ac:dyDescent="0.3">
      <c r="A5" s="3"/>
      <c r="E5" s="3"/>
      <c r="F5" s="3"/>
      <c r="G5" s="3"/>
    </row>
    <row r="6" spans="1:11" ht="0.6" customHeight="1" x14ac:dyDescent="0.3">
      <c r="A6" s="3"/>
      <c r="E6" s="3"/>
      <c r="F6" s="3"/>
      <c r="G6" s="3"/>
    </row>
    <row r="7" spans="1:11" ht="2.4" customHeight="1" x14ac:dyDescent="0.3">
      <c r="A7" s="3"/>
      <c r="B7" s="5" t="s">
        <v>2</v>
      </c>
      <c r="C7" s="5"/>
      <c r="D7" s="5"/>
      <c r="E7" s="3"/>
      <c r="F7" s="3"/>
      <c r="G7" s="3"/>
    </row>
    <row r="8" spans="1:11" ht="16.95" customHeight="1" x14ac:dyDescent="0.3">
      <c r="A8" s="3"/>
      <c r="B8" s="5"/>
      <c r="C8" s="5"/>
      <c r="D8" s="5"/>
    </row>
    <row r="9" spans="1:11" ht="1.95" customHeight="1" x14ac:dyDescent="0.3">
      <c r="A9" s="3"/>
      <c r="B9" s="6" t="str">
        <f>+CONCATENATE("JUNE 2023,"&amp;" "&amp;B13)</f>
        <v>JUNE 2023, NEECO I</v>
      </c>
      <c r="C9" s="6"/>
    </row>
    <row r="10" spans="1:11" ht="15.6" customHeight="1" x14ac:dyDescent="0.3">
      <c r="A10" s="3"/>
      <c r="B10" s="6"/>
      <c r="C10" s="6"/>
    </row>
    <row r="11" spans="1:11" ht="0.45" customHeight="1" x14ac:dyDescent="0.3">
      <c r="A11" s="3"/>
    </row>
    <row r="12" spans="1:11" ht="0" hidden="1" customHeight="1" x14ac:dyDescent="0.3"/>
    <row r="13" spans="1:11" ht="15.45" customHeight="1" x14ac:dyDescent="0.3">
      <c r="B13" s="7" t="str">
        <f>+[7]SCF!$C$2</f>
        <v>NEECO I</v>
      </c>
    </row>
    <row r="14" spans="1:11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9" t="s">
        <v>10</v>
      </c>
      <c r="I14" s="9" t="s">
        <v>11</v>
      </c>
      <c r="J14" s="9" t="s">
        <v>12</v>
      </c>
      <c r="K14" s="9" t="s">
        <v>13</v>
      </c>
    </row>
    <row r="15" spans="1:11" ht="15" customHeight="1" x14ac:dyDescent="0.3">
      <c r="A15" s="10" t="s">
        <v>14</v>
      </c>
      <c r="B15" s="11" t="s">
        <v>15</v>
      </c>
      <c r="C15" s="12" t="s">
        <v>15</v>
      </c>
      <c r="D15" s="11" t="s">
        <v>15</v>
      </c>
      <c r="E15" s="13" t="s">
        <v>15</v>
      </c>
      <c r="F15" s="12" t="s">
        <v>15</v>
      </c>
      <c r="G15" s="12" t="s">
        <v>15</v>
      </c>
      <c r="H15" s="12" t="s">
        <v>15</v>
      </c>
      <c r="I15" s="12" t="s">
        <v>15</v>
      </c>
      <c r="J15" s="12" t="s">
        <v>15</v>
      </c>
      <c r="K15" s="12" t="s">
        <v>15</v>
      </c>
    </row>
    <row r="16" spans="1:11" ht="15" customHeight="1" x14ac:dyDescent="0.3">
      <c r="A16" s="14" t="s">
        <v>16</v>
      </c>
      <c r="B16" s="15">
        <f>[7]SCF!C12</f>
        <v>4808973495</v>
      </c>
      <c r="C16" s="15">
        <f>+C17+C18+C19+C26+C27+C28</f>
        <v>1494388907.5499997</v>
      </c>
      <c r="D16" s="15">
        <f>+C16-B16</f>
        <v>-3314584587.4500003</v>
      </c>
      <c r="E16" s="16">
        <f t="shared" ref="E16:E42" si="0">+D16/B16*100</f>
        <v>-68.924991807425215</v>
      </c>
      <c r="F16" s="15">
        <f>[8]SCF!D12</f>
        <v>268559062.10000002</v>
      </c>
      <c r="G16" s="15">
        <f>[9]SCF!D12</f>
        <v>202512477.78999999</v>
      </c>
      <c r="H16" s="15">
        <f>[10]SCF!D12</f>
        <v>239871342.06</v>
      </c>
      <c r="I16" s="15">
        <f>[11]SCF!D12</f>
        <v>228767301.68000001</v>
      </c>
      <c r="J16" s="15">
        <f>[12]SCF!D12</f>
        <v>280491686.74000001</v>
      </c>
      <c r="K16" s="15">
        <f>[7]SCF!D12</f>
        <v>274187037.18000001</v>
      </c>
    </row>
    <row r="17" spans="1:11" ht="15" customHeight="1" x14ac:dyDescent="0.3">
      <c r="A17" s="17" t="s">
        <v>17</v>
      </c>
      <c r="B17" s="18">
        <f>[7]SCF!C13</f>
        <v>4159444288</v>
      </c>
      <c r="C17" s="18">
        <f>SUM(F17:K17)</f>
        <v>1285619106.48</v>
      </c>
      <c r="D17" s="18">
        <f t="shared" ref="D17:D42" si="1">+C17-B17</f>
        <v>-2873825181.52</v>
      </c>
      <c r="E17" s="19">
        <f t="shared" ref="E17:E18" si="2">IFERROR(+D17/B17*100,0)</f>
        <v>-69.091565664456382</v>
      </c>
      <c r="F17" s="18">
        <f>[8]SCF!D13</f>
        <v>231212730.91999999</v>
      </c>
      <c r="G17" s="18">
        <f>[9]SCF!D13</f>
        <v>173640206.15000001</v>
      </c>
      <c r="H17" s="18">
        <f>[10]SCF!D13</f>
        <v>206353369.43000001</v>
      </c>
      <c r="I17" s="18">
        <f>[11]SCF!D13</f>
        <v>197486612.22</v>
      </c>
      <c r="J17" s="18">
        <f>[12]SCF!D13</f>
        <v>241485293.66</v>
      </c>
      <c r="K17" s="18">
        <f>[7]SCF!D13</f>
        <v>235440894.09999999</v>
      </c>
    </row>
    <row r="18" spans="1:11" ht="15" customHeight="1" x14ac:dyDescent="0.3">
      <c r="A18" s="17" t="s">
        <v>18</v>
      </c>
      <c r="B18" s="18">
        <f>[7]SCF!C14</f>
        <v>86469481</v>
      </c>
      <c r="C18" s="18">
        <f>SUM(F18:K18)</f>
        <v>34317060.340000004</v>
      </c>
      <c r="D18" s="18">
        <f t="shared" si="1"/>
        <v>-52152420.659999996</v>
      </c>
      <c r="E18" s="19">
        <f t="shared" si="2"/>
        <v>-60.313095507072603</v>
      </c>
      <c r="F18" s="18">
        <f>[8]SCF!D14</f>
        <v>5779706.04</v>
      </c>
      <c r="G18" s="18">
        <f>[9]SCF!D14</f>
        <v>4685148.45</v>
      </c>
      <c r="H18" s="18">
        <f>[10]SCF!D14</f>
        <v>5540490.1799999997</v>
      </c>
      <c r="I18" s="18">
        <f>[11]SCF!D14</f>
        <v>5042860.45</v>
      </c>
      <c r="J18" s="18">
        <f>[12]SCF!D14</f>
        <v>6613167.5499999998</v>
      </c>
      <c r="K18" s="18">
        <f>[7]SCF!D14</f>
        <v>6655687.6699999999</v>
      </c>
    </row>
    <row r="19" spans="1:11" ht="15" customHeight="1" x14ac:dyDescent="0.3">
      <c r="A19" s="20" t="s">
        <v>19</v>
      </c>
      <c r="B19" s="15">
        <f>[7]SCF!C15</f>
        <v>59224452</v>
      </c>
      <c r="C19" s="21">
        <f>+C20+C21+C22+C23+C24+C25</f>
        <v>27196204.84</v>
      </c>
      <c r="D19" s="21">
        <f t="shared" si="1"/>
        <v>-32028247.16</v>
      </c>
      <c r="E19" s="22">
        <f t="shared" si="0"/>
        <v>-54.079431853586421</v>
      </c>
      <c r="F19" s="21">
        <f>[8]SCF!D15</f>
        <v>4432717.3899999997</v>
      </c>
      <c r="G19" s="21">
        <f>[9]SCF!D15</f>
        <v>3593150.69</v>
      </c>
      <c r="H19" s="21">
        <f>[10]SCF!D15</f>
        <v>4247857.46</v>
      </c>
      <c r="I19" s="21">
        <f>[11]SCF!D15</f>
        <v>3867772.22</v>
      </c>
      <c r="J19" s="21">
        <f>[12]SCF!D15</f>
        <v>5105676.1100000003</v>
      </c>
      <c r="K19" s="21">
        <f>[7]SCF!D15</f>
        <v>5949030.9699999997</v>
      </c>
    </row>
    <row r="20" spans="1:11" ht="15" customHeight="1" x14ac:dyDescent="0.3">
      <c r="A20" s="23" t="s">
        <v>20</v>
      </c>
      <c r="B20" s="18">
        <f>[7]SCF!C16</f>
        <v>45974134.68</v>
      </c>
      <c r="C20" s="18">
        <f t="shared" ref="C20:C26" si="3">SUM(F20:K20)</f>
        <v>21931067.149999999</v>
      </c>
      <c r="D20" s="18">
        <f t="shared" si="1"/>
        <v>-24043067.530000001</v>
      </c>
      <c r="E20" s="19">
        <f t="shared" ref="E20:E28" si="4">IFERROR(+D20/B20*100,0)</f>
        <v>-52.296944134675336</v>
      </c>
      <c r="F20" s="18">
        <f>[8]SCF!D16</f>
        <v>3544532.48</v>
      </c>
      <c r="G20" s="18">
        <f>[9]SCF!D16</f>
        <v>2873910.47</v>
      </c>
      <c r="H20" s="18">
        <f>[10]SCF!D16</f>
        <v>3398129.47</v>
      </c>
      <c r="I20" s="18">
        <f>[11]SCF!D16</f>
        <v>3094721.9</v>
      </c>
      <c r="J20" s="18">
        <f>[12]SCF!D16</f>
        <v>4091335.81</v>
      </c>
      <c r="K20" s="18">
        <f>[7]SCF!D16</f>
        <v>4928437.0199999996</v>
      </c>
    </row>
    <row r="21" spans="1:11" ht="15" customHeight="1" x14ac:dyDescent="0.3">
      <c r="A21" s="23" t="s">
        <v>21</v>
      </c>
      <c r="B21" s="18">
        <f>[7]SCF!C17</f>
        <v>506191.9</v>
      </c>
      <c r="C21" s="18">
        <f t="shared" si="3"/>
        <v>204977.24999999997</v>
      </c>
      <c r="D21" s="18">
        <f t="shared" si="1"/>
        <v>-301214.65000000002</v>
      </c>
      <c r="E21" s="19">
        <f t="shared" si="4"/>
        <v>-59.506019357480831</v>
      </c>
      <c r="F21" s="18">
        <f>[8]SCF!D17</f>
        <v>35563.19</v>
      </c>
      <c r="G21" s="18">
        <f>[9]SCF!D17</f>
        <v>28654.31</v>
      </c>
      <c r="H21" s="18">
        <f>[10]SCF!D17</f>
        <v>32894.019999999997</v>
      </c>
      <c r="I21" s="18">
        <f>[11]SCF!D17</f>
        <v>29767.279999999999</v>
      </c>
      <c r="J21" s="18">
        <f>[12]SCF!D17</f>
        <v>38976.18</v>
      </c>
      <c r="K21" s="18">
        <f>[7]SCF!D17</f>
        <v>39122.269999999997</v>
      </c>
    </row>
    <row r="22" spans="1:11" ht="15" customHeight="1" x14ac:dyDescent="0.3">
      <c r="A22" s="23" t="s">
        <v>22</v>
      </c>
      <c r="B22" s="18">
        <f>[7]SCF!C18</f>
        <v>0</v>
      </c>
      <c r="C22" s="18">
        <f t="shared" si="3"/>
        <v>90.820000000000007</v>
      </c>
      <c r="D22" s="18">
        <f t="shared" si="1"/>
        <v>90.820000000000007</v>
      </c>
      <c r="E22" s="19">
        <f t="shared" si="4"/>
        <v>0</v>
      </c>
      <c r="F22" s="18">
        <f>[8]SCF!D18</f>
        <v>20.57</v>
      </c>
      <c r="G22" s="18">
        <f>[9]SCF!D18</f>
        <v>8.17</v>
      </c>
      <c r="H22" s="18">
        <f>[10]SCF!D18</f>
        <v>9.17</v>
      </c>
      <c r="I22" s="18">
        <f>[11]SCF!D18</f>
        <v>4.07</v>
      </c>
      <c r="J22" s="18">
        <f>[12]SCF!D18</f>
        <v>13.17</v>
      </c>
      <c r="K22" s="18">
        <f>[7]SCF!D18</f>
        <v>35.67</v>
      </c>
    </row>
    <row r="23" spans="1:11" ht="15" customHeight="1" x14ac:dyDescent="0.3">
      <c r="A23" s="23" t="s">
        <v>23</v>
      </c>
      <c r="B23" s="18">
        <f>[7]SCF!C19</f>
        <v>0</v>
      </c>
      <c r="C23" s="18">
        <f t="shared" si="3"/>
        <v>4241043.87</v>
      </c>
      <c r="D23" s="18">
        <f t="shared" si="1"/>
        <v>4241043.87</v>
      </c>
      <c r="E23" s="19">
        <f t="shared" si="4"/>
        <v>0</v>
      </c>
      <c r="F23" s="18">
        <f>[8]SCF!D19</f>
        <v>851977.51</v>
      </c>
      <c r="G23" s="18">
        <f>[9]SCF!D19</f>
        <v>690269.71</v>
      </c>
      <c r="H23" s="18">
        <f>[10]SCF!D19</f>
        <v>298.14</v>
      </c>
      <c r="I23" s="18">
        <f>[11]SCF!D19</f>
        <v>743217.57</v>
      </c>
      <c r="J23" s="18">
        <f>[12]SCF!D19</f>
        <v>974687.18</v>
      </c>
      <c r="K23" s="18">
        <f>[7]SCF!D19</f>
        <v>980593.76</v>
      </c>
    </row>
    <row r="24" spans="1:11" ht="15" customHeight="1" x14ac:dyDescent="0.3">
      <c r="A24" s="23" t="s">
        <v>24</v>
      </c>
      <c r="B24" s="18">
        <f>[7]SCF!C20</f>
        <v>12744125.42</v>
      </c>
      <c r="C24" s="18">
        <f t="shared" si="3"/>
        <v>819025.75000000012</v>
      </c>
      <c r="D24" s="18">
        <f t="shared" si="1"/>
        <v>-11925099.67</v>
      </c>
      <c r="E24" s="19">
        <f t="shared" si="4"/>
        <v>-93.573307520069903</v>
      </c>
      <c r="F24" s="18">
        <f>[8]SCF!D20</f>
        <v>623.64</v>
      </c>
      <c r="G24" s="18">
        <f>[9]SCF!D20</f>
        <v>308.02999999999997</v>
      </c>
      <c r="H24" s="18">
        <f>[10]SCF!D20</f>
        <v>816526.66</v>
      </c>
      <c r="I24" s="18">
        <f>[11]SCF!D20</f>
        <v>61.4</v>
      </c>
      <c r="J24" s="18">
        <f>[12]SCF!D20</f>
        <v>663.77</v>
      </c>
      <c r="K24" s="18">
        <f>[7]SCF!D20</f>
        <v>842.25</v>
      </c>
    </row>
    <row r="25" spans="1:11" ht="15" customHeight="1" x14ac:dyDescent="0.3">
      <c r="A25" s="23" t="s">
        <v>25</v>
      </c>
      <c r="B25" s="18">
        <f>[7]SCF!C21</f>
        <v>0</v>
      </c>
      <c r="C25" s="18">
        <f t="shared" si="3"/>
        <v>0</v>
      </c>
      <c r="D25" s="18">
        <f t="shared" si="1"/>
        <v>0</v>
      </c>
      <c r="E25" s="19">
        <f t="shared" si="4"/>
        <v>0</v>
      </c>
      <c r="F25" s="18">
        <f>[8]SCF!D21</f>
        <v>0</v>
      </c>
      <c r="G25" s="18">
        <f>[9]SCF!D21</f>
        <v>0</v>
      </c>
      <c r="H25" s="18">
        <f>[10]SCF!D21</f>
        <v>0</v>
      </c>
      <c r="I25" s="18">
        <f>[11]SCF!D21</f>
        <v>0</v>
      </c>
      <c r="J25" s="18">
        <f>[12]SCF!D21</f>
        <v>0</v>
      </c>
      <c r="K25" s="18">
        <f>[7]SCF!D21</f>
        <v>0</v>
      </c>
    </row>
    <row r="26" spans="1:11" ht="15" customHeight="1" x14ac:dyDescent="0.3">
      <c r="A26" s="17" t="s">
        <v>26</v>
      </c>
      <c r="B26" s="18">
        <f>[7]SCF!C22</f>
        <v>29229846</v>
      </c>
      <c r="C26" s="18">
        <f t="shared" si="3"/>
        <v>314031.61000000004</v>
      </c>
      <c r="D26" s="18">
        <f t="shared" si="1"/>
        <v>-28915814.390000001</v>
      </c>
      <c r="E26" s="19">
        <f t="shared" si="4"/>
        <v>-98.925647401631878</v>
      </c>
      <c r="F26" s="18">
        <f>[8]SCF!D22</f>
        <v>183951.63</v>
      </c>
      <c r="G26" s="18">
        <f>[9]SCF!D22</f>
        <v>71839.38</v>
      </c>
      <c r="H26" s="18">
        <f>[10]SCF!D22</f>
        <v>34402.160000000003</v>
      </c>
      <c r="I26" s="18">
        <f>[11]SCF!D22</f>
        <v>8948.15</v>
      </c>
      <c r="J26" s="18">
        <f>[12]SCF!D22</f>
        <v>10131.61</v>
      </c>
      <c r="K26" s="18">
        <f>[7]SCF!D22</f>
        <v>4758.68</v>
      </c>
    </row>
    <row r="27" spans="1:11" ht="15" customHeight="1" x14ac:dyDescent="0.3">
      <c r="A27" s="17" t="s">
        <v>27</v>
      </c>
      <c r="B27" s="18">
        <f>[7]SCF!C23</f>
        <v>472449148</v>
      </c>
      <c r="C27" s="18">
        <f>SUM(F27:K27)</f>
        <v>146942150.02000001</v>
      </c>
      <c r="D27" s="18">
        <f t="shared" si="1"/>
        <v>-325506997.98000002</v>
      </c>
      <c r="E27" s="19">
        <f t="shared" si="4"/>
        <v>-68.8977849484872</v>
      </c>
      <c r="F27" s="18">
        <f>[8]SCF!D23</f>
        <v>26949871.390000001</v>
      </c>
      <c r="G27" s="18">
        <f>[9]SCF!D23</f>
        <v>20522090.850000001</v>
      </c>
      <c r="H27" s="18">
        <f>[10]SCF!D23</f>
        <v>23695112.940000001</v>
      </c>
      <c r="I27" s="18">
        <f>[11]SCF!D23</f>
        <v>22361036.25</v>
      </c>
      <c r="J27" s="18">
        <f>[12]SCF!D23</f>
        <v>27277384.390000001</v>
      </c>
      <c r="K27" s="18">
        <f>[7]SCF!D23</f>
        <v>26136654.199999999</v>
      </c>
    </row>
    <row r="28" spans="1:11" ht="15" customHeight="1" x14ac:dyDescent="0.3">
      <c r="A28" s="17" t="s">
        <v>28</v>
      </c>
      <c r="B28" s="18">
        <f>[7]SCF!C24</f>
        <v>2156280</v>
      </c>
      <c r="C28" s="18">
        <f>SUM(F28:K28)</f>
        <v>354.26</v>
      </c>
      <c r="D28" s="18">
        <f t="shared" si="1"/>
        <v>-2155925.7400000002</v>
      </c>
      <c r="E28" s="19">
        <f t="shared" si="4"/>
        <v>-99.983570779305111</v>
      </c>
      <c r="F28" s="18">
        <f>[8]SCF!D24</f>
        <v>84.73</v>
      </c>
      <c r="G28" s="18">
        <f>[9]SCF!D24</f>
        <v>42.27</v>
      </c>
      <c r="H28" s="18">
        <f>[10]SCF!D24</f>
        <v>109.89</v>
      </c>
      <c r="I28" s="18">
        <f>[11]SCF!D24</f>
        <v>72.39</v>
      </c>
      <c r="J28" s="18">
        <f>[12]SCF!D24</f>
        <v>33.42</v>
      </c>
      <c r="K28" s="18">
        <f>[7]SCF!D24</f>
        <v>11.56</v>
      </c>
    </row>
    <row r="29" spans="1:11" ht="15" customHeight="1" x14ac:dyDescent="0.3">
      <c r="A29" s="14" t="s">
        <v>29</v>
      </c>
      <c r="B29" s="15">
        <f>[7]SCF!C25</f>
        <v>97000000</v>
      </c>
      <c r="C29" s="15">
        <f>+C30+C31+C32</f>
        <v>44080356.080000006</v>
      </c>
      <c r="D29" s="15">
        <f t="shared" si="1"/>
        <v>-52919643.919999994</v>
      </c>
      <c r="E29" s="16">
        <f t="shared" si="0"/>
        <v>-54.55633393814432</v>
      </c>
      <c r="F29" s="15">
        <f>[8]SCF!D25</f>
        <v>10655217.77</v>
      </c>
      <c r="G29" s="15">
        <f>[9]SCF!D25</f>
        <v>3958338.61</v>
      </c>
      <c r="H29" s="15">
        <f>[10]SCF!D25</f>
        <v>14597785.869999999</v>
      </c>
      <c r="I29" s="15">
        <f>[11]SCF!D25</f>
        <v>6636518.9199999999</v>
      </c>
      <c r="J29" s="15">
        <f>[12]SCF!D25</f>
        <v>3284112.78</v>
      </c>
      <c r="K29" s="15">
        <f>[7]SCF!D25</f>
        <v>4948382.13</v>
      </c>
    </row>
    <row r="30" spans="1:11" ht="15" customHeight="1" x14ac:dyDescent="0.3">
      <c r="A30" s="17" t="s">
        <v>30</v>
      </c>
      <c r="B30" s="18">
        <f>[7]SCF!C26</f>
        <v>97000000</v>
      </c>
      <c r="C30" s="18">
        <f t="shared" ref="C30:C32" si="5">SUM(F30:K30)</f>
        <v>44080356.080000006</v>
      </c>
      <c r="D30" s="18">
        <f t="shared" si="1"/>
        <v>-52919643.919999994</v>
      </c>
      <c r="E30" s="19">
        <f t="shared" ref="E30:E32" si="6">IFERROR(+D30/B30*100,0)</f>
        <v>-54.55633393814432</v>
      </c>
      <c r="F30" s="18">
        <f>[8]SCF!D26</f>
        <v>10655217.77</v>
      </c>
      <c r="G30" s="18">
        <f>[9]SCF!D26</f>
        <v>3958338.61</v>
      </c>
      <c r="H30" s="18">
        <f>[10]SCF!D26</f>
        <v>14597785.869999999</v>
      </c>
      <c r="I30" s="18">
        <f>[11]SCF!D26</f>
        <v>6636518.9199999999</v>
      </c>
      <c r="J30" s="18">
        <f>[12]SCF!D26</f>
        <v>3284112.78</v>
      </c>
      <c r="K30" s="18">
        <f>[7]SCF!D26</f>
        <v>4948382.13</v>
      </c>
    </row>
    <row r="31" spans="1:11" ht="15" customHeight="1" x14ac:dyDescent="0.3">
      <c r="A31" s="17" t="s">
        <v>31</v>
      </c>
      <c r="B31" s="18">
        <f>[7]SCF!C27</f>
        <v>0</v>
      </c>
      <c r="C31" s="18">
        <f t="shared" si="5"/>
        <v>0</v>
      </c>
      <c r="D31" s="18">
        <f t="shared" si="1"/>
        <v>0</v>
      </c>
      <c r="E31" s="19">
        <f t="shared" si="6"/>
        <v>0</v>
      </c>
      <c r="F31" s="18">
        <f>[8]SCF!D27</f>
        <v>0</v>
      </c>
      <c r="G31" s="18">
        <f>[9]SCF!D27</f>
        <v>0</v>
      </c>
      <c r="H31" s="18">
        <f>[10]SCF!D27</f>
        <v>0</v>
      </c>
      <c r="I31" s="18">
        <f>[11]SCF!D27</f>
        <v>0</v>
      </c>
      <c r="J31" s="18">
        <f>[12]SCF!D27</f>
        <v>0</v>
      </c>
      <c r="K31" s="18">
        <f>[7]SCF!D27</f>
        <v>0</v>
      </c>
    </row>
    <row r="32" spans="1:11" x14ac:dyDescent="0.3">
      <c r="A32" s="17" t="s">
        <v>32</v>
      </c>
      <c r="B32" s="18">
        <f>[7]SCF!C28</f>
        <v>0</v>
      </c>
      <c r="C32" s="18">
        <f t="shared" si="5"/>
        <v>0</v>
      </c>
      <c r="D32" s="18">
        <f t="shared" si="1"/>
        <v>0</v>
      </c>
      <c r="E32" s="19">
        <f t="shared" si="6"/>
        <v>0</v>
      </c>
      <c r="F32" s="18">
        <f>[8]SCF!D28</f>
        <v>0</v>
      </c>
      <c r="G32" s="18">
        <f>[9]SCF!D28</f>
        <v>0</v>
      </c>
      <c r="H32" s="18">
        <f>[10]SCF!D28</f>
        <v>0</v>
      </c>
      <c r="I32" s="18">
        <f>[11]SCF!D28</f>
        <v>0</v>
      </c>
      <c r="J32" s="18">
        <f>[12]SCF!D28</f>
        <v>0</v>
      </c>
      <c r="K32" s="18">
        <f>[7]SCF!D28</f>
        <v>0</v>
      </c>
    </row>
    <row r="33" spans="1:11" x14ac:dyDescent="0.3">
      <c r="A33" s="14" t="s">
        <v>33</v>
      </c>
      <c r="B33" s="15">
        <f>[7]SCF!C29</f>
        <v>230602041</v>
      </c>
      <c r="C33" s="15">
        <f>+C34+C35+C36+C37</f>
        <v>0</v>
      </c>
      <c r="D33" s="15">
        <f t="shared" si="1"/>
        <v>-230602041</v>
      </c>
      <c r="E33" s="16">
        <f t="shared" si="0"/>
        <v>-100</v>
      </c>
      <c r="F33" s="15">
        <f>[8]SCF!D29</f>
        <v>0</v>
      </c>
      <c r="G33" s="15">
        <f>[9]SCF!D29</f>
        <v>0</v>
      </c>
      <c r="H33" s="15">
        <f>[10]SCF!D29</f>
        <v>0</v>
      </c>
      <c r="I33" s="15">
        <f>[11]SCF!D29</f>
        <v>0</v>
      </c>
      <c r="J33" s="15">
        <f>[12]SCF!D29</f>
        <v>0</v>
      </c>
      <c r="K33" s="15">
        <f>[7]SCF!D29</f>
        <v>0</v>
      </c>
    </row>
    <row r="34" spans="1:11" ht="15" customHeight="1" x14ac:dyDescent="0.3">
      <c r="A34" s="17" t="s">
        <v>34</v>
      </c>
      <c r="B34" s="18">
        <f>[7]SCF!C30</f>
        <v>0</v>
      </c>
      <c r="C34" s="18">
        <f t="shared" ref="C34:C41" si="7">SUM(F34:K34)</f>
        <v>0</v>
      </c>
      <c r="D34" s="18">
        <f t="shared" si="1"/>
        <v>0</v>
      </c>
      <c r="E34" s="19">
        <f t="shared" ref="E34:E41" si="8">IFERROR(+D34/B34*100,0)</f>
        <v>0</v>
      </c>
      <c r="F34" s="18">
        <f>[8]SCF!D30</f>
        <v>0</v>
      </c>
      <c r="G34" s="18">
        <f>[9]SCF!D30</f>
        <v>0</v>
      </c>
      <c r="H34" s="18">
        <f>[10]SCF!D30</f>
        <v>0</v>
      </c>
      <c r="I34" s="18">
        <f>[11]SCF!D30</f>
        <v>0</v>
      </c>
      <c r="J34" s="18">
        <f>[12]SCF!D30</f>
        <v>0</v>
      </c>
      <c r="K34" s="18">
        <f>[7]SCF!D30</f>
        <v>0</v>
      </c>
    </row>
    <row r="35" spans="1:11" ht="15" customHeight="1" x14ac:dyDescent="0.3">
      <c r="A35" s="17" t="s">
        <v>35</v>
      </c>
      <c r="B35" s="18">
        <f>[7]SCF!C31</f>
        <v>230602041</v>
      </c>
      <c r="C35" s="18">
        <f t="shared" si="7"/>
        <v>0</v>
      </c>
      <c r="D35" s="18">
        <f t="shared" si="1"/>
        <v>-230602041</v>
      </c>
      <c r="E35" s="19">
        <f t="shared" si="8"/>
        <v>-100</v>
      </c>
      <c r="F35" s="18">
        <f>[8]SCF!D31</f>
        <v>0</v>
      </c>
      <c r="G35" s="18">
        <f>[9]SCF!D31</f>
        <v>0</v>
      </c>
      <c r="H35" s="18">
        <f>[10]SCF!D31</f>
        <v>0</v>
      </c>
      <c r="I35" s="18">
        <f>[11]SCF!D31</f>
        <v>0</v>
      </c>
      <c r="J35" s="18">
        <f>[12]SCF!D31</f>
        <v>0</v>
      </c>
      <c r="K35" s="18">
        <f>[7]SCF!D31</f>
        <v>0</v>
      </c>
    </row>
    <row r="36" spans="1:11" ht="20.399999999999999" customHeight="1" x14ac:dyDescent="0.3">
      <c r="A36" s="17" t="s">
        <v>36</v>
      </c>
      <c r="B36" s="18">
        <f>[7]SCF!C32</f>
        <v>0</v>
      </c>
      <c r="C36" s="18">
        <f t="shared" si="7"/>
        <v>0</v>
      </c>
      <c r="D36" s="18">
        <f t="shared" si="1"/>
        <v>0</v>
      </c>
      <c r="E36" s="19">
        <f t="shared" si="8"/>
        <v>0</v>
      </c>
      <c r="F36" s="18">
        <f>[8]SCF!D32</f>
        <v>0</v>
      </c>
      <c r="G36" s="18">
        <f>[9]SCF!D32</f>
        <v>0</v>
      </c>
      <c r="H36" s="18">
        <f>[10]SCF!D32</f>
        <v>0</v>
      </c>
      <c r="I36" s="18">
        <f>[11]SCF!D32</f>
        <v>0</v>
      </c>
      <c r="J36" s="18">
        <f>[12]SCF!D32</f>
        <v>0</v>
      </c>
      <c r="K36" s="18">
        <f>[7]SCF!D32</f>
        <v>0</v>
      </c>
    </row>
    <row r="37" spans="1:11" ht="15" customHeight="1" x14ac:dyDescent="0.3">
      <c r="A37" s="17" t="s">
        <v>37</v>
      </c>
      <c r="B37" s="18">
        <f>[7]SCF!C33</f>
        <v>0</v>
      </c>
      <c r="C37" s="18">
        <f t="shared" si="7"/>
        <v>0</v>
      </c>
      <c r="D37" s="18">
        <f t="shared" si="1"/>
        <v>0</v>
      </c>
      <c r="E37" s="19">
        <f t="shared" si="8"/>
        <v>0</v>
      </c>
      <c r="F37" s="18">
        <f>[8]SCF!D33</f>
        <v>0</v>
      </c>
      <c r="G37" s="18">
        <f>[9]SCF!D33</f>
        <v>0</v>
      </c>
      <c r="H37" s="18">
        <f>[10]SCF!D33</f>
        <v>0</v>
      </c>
      <c r="I37" s="18">
        <f>[11]SCF!D33</f>
        <v>0</v>
      </c>
      <c r="J37" s="18">
        <f>[12]SCF!D33</f>
        <v>0</v>
      </c>
      <c r="K37" s="18">
        <f>[7]SCF!D33</f>
        <v>0</v>
      </c>
    </row>
    <row r="38" spans="1:11" x14ac:dyDescent="0.3">
      <c r="A38" s="24" t="s">
        <v>38</v>
      </c>
      <c r="B38" s="18">
        <f>[7]SCF!C34</f>
        <v>0</v>
      </c>
      <c r="C38" s="18">
        <f t="shared" si="7"/>
        <v>0</v>
      </c>
      <c r="D38" s="18">
        <f t="shared" si="1"/>
        <v>0</v>
      </c>
      <c r="E38" s="19">
        <f t="shared" si="8"/>
        <v>0</v>
      </c>
      <c r="F38" s="18">
        <f>[8]SCF!D34</f>
        <v>0</v>
      </c>
      <c r="G38" s="18">
        <f>[9]SCF!D34</f>
        <v>0</v>
      </c>
      <c r="H38" s="18">
        <f>[10]SCF!D34</f>
        <v>0</v>
      </c>
      <c r="I38" s="18">
        <f>[11]SCF!D34</f>
        <v>0</v>
      </c>
      <c r="J38" s="18">
        <f>[12]SCF!D34</f>
        <v>0</v>
      </c>
      <c r="K38" s="18">
        <f>[7]SCF!D34</f>
        <v>0</v>
      </c>
    </row>
    <row r="39" spans="1:11" ht="15" customHeight="1" x14ac:dyDescent="0.3">
      <c r="A39" s="24" t="s">
        <v>39</v>
      </c>
      <c r="B39" s="18">
        <f>[7]SCF!C35</f>
        <v>0</v>
      </c>
      <c r="C39" s="18">
        <f t="shared" si="7"/>
        <v>0</v>
      </c>
      <c r="D39" s="18">
        <f t="shared" si="1"/>
        <v>0</v>
      </c>
      <c r="E39" s="19">
        <f t="shared" si="8"/>
        <v>0</v>
      </c>
      <c r="F39" s="18">
        <f>[8]SCF!D35</f>
        <v>0</v>
      </c>
      <c r="G39" s="18">
        <f>[9]SCF!D35</f>
        <v>0</v>
      </c>
      <c r="H39" s="18">
        <f>[10]SCF!D35</f>
        <v>0</v>
      </c>
      <c r="I39" s="18">
        <f>[11]SCF!D35</f>
        <v>0</v>
      </c>
      <c r="J39" s="18">
        <f>[12]SCF!D35</f>
        <v>0</v>
      </c>
      <c r="K39" s="18">
        <f>[7]SCF!D35</f>
        <v>0</v>
      </c>
    </row>
    <row r="40" spans="1:11" ht="15" customHeight="1" x14ac:dyDescent="0.3">
      <c r="A40" s="24" t="s">
        <v>40</v>
      </c>
      <c r="B40" s="18">
        <f>[7]SCF!C36</f>
        <v>0</v>
      </c>
      <c r="C40" s="18">
        <f t="shared" si="7"/>
        <v>0</v>
      </c>
      <c r="D40" s="18">
        <f t="shared" si="1"/>
        <v>0</v>
      </c>
      <c r="E40" s="19">
        <f t="shared" si="8"/>
        <v>0</v>
      </c>
      <c r="F40" s="18">
        <f>[8]SCF!D36</f>
        <v>0</v>
      </c>
      <c r="G40" s="18">
        <f>[9]SCF!D36</f>
        <v>0</v>
      </c>
      <c r="H40" s="18">
        <f>[10]SCF!D36</f>
        <v>0</v>
      </c>
      <c r="I40" s="18">
        <f>[11]SCF!D36</f>
        <v>0</v>
      </c>
      <c r="J40" s="18">
        <f>[12]SCF!D36</f>
        <v>0</v>
      </c>
      <c r="K40" s="18">
        <f>[7]SCF!D36</f>
        <v>0</v>
      </c>
    </row>
    <row r="41" spans="1:11" ht="15" customHeight="1" x14ac:dyDescent="0.3">
      <c r="A41" s="24" t="s">
        <v>41</v>
      </c>
      <c r="B41" s="18">
        <f>[7]SCF!C37</f>
        <v>0</v>
      </c>
      <c r="C41" s="18">
        <f t="shared" si="7"/>
        <v>0</v>
      </c>
      <c r="D41" s="18">
        <f t="shared" si="1"/>
        <v>0</v>
      </c>
      <c r="E41" s="19">
        <f t="shared" si="8"/>
        <v>0</v>
      </c>
      <c r="F41" s="18">
        <f>[8]SCF!D37</f>
        <v>0</v>
      </c>
      <c r="G41" s="18">
        <f>[9]SCF!D37</f>
        <v>0</v>
      </c>
      <c r="H41" s="18">
        <f>[10]SCF!D37</f>
        <v>0</v>
      </c>
      <c r="I41" s="18">
        <f>[11]SCF!D37</f>
        <v>0</v>
      </c>
      <c r="J41" s="18">
        <f>[12]SCF!D37</f>
        <v>0</v>
      </c>
      <c r="K41" s="18">
        <f>[7]SCF!D37</f>
        <v>0</v>
      </c>
    </row>
    <row r="42" spans="1:11" ht="15" customHeight="1" x14ac:dyDescent="0.3">
      <c r="A42" s="25" t="s">
        <v>42</v>
      </c>
      <c r="B42" s="26">
        <f>[7]SCF!C38</f>
        <v>5136575536</v>
      </c>
      <c r="C42" s="27">
        <f>+C16+C29+C33+C38+C39+C40+C41</f>
        <v>1538469263.6299996</v>
      </c>
      <c r="D42" s="27">
        <f t="shared" si="1"/>
        <v>-3598106272.3700004</v>
      </c>
      <c r="E42" s="28">
        <f t="shared" si="0"/>
        <v>-70.048736695342157</v>
      </c>
      <c r="F42" s="27">
        <f>[8]SCF!D38</f>
        <v>279214279.87</v>
      </c>
      <c r="G42" s="27">
        <f>[9]SCF!D38</f>
        <v>206470816.40000001</v>
      </c>
      <c r="H42" s="27">
        <f>[10]SCF!D38</f>
        <v>254469127.93000001</v>
      </c>
      <c r="I42" s="27">
        <f t="shared" ref="I42" si="9">I16+I29+I33+I38+I39+I40+I41</f>
        <v>235403820.59999999</v>
      </c>
      <c r="J42" s="27">
        <f>[12]SCF!D38</f>
        <v>283775799.51999998</v>
      </c>
      <c r="K42" s="27">
        <f>[7]SCF!D38</f>
        <v>279135419.31</v>
      </c>
    </row>
    <row r="43" spans="1:11" ht="18" customHeight="1" x14ac:dyDescent="0.3">
      <c r="A43" s="29" t="s">
        <v>15</v>
      </c>
      <c r="B43" s="3"/>
      <c r="C43" s="3"/>
      <c r="D43" s="3"/>
      <c r="E43" s="3"/>
    </row>
    <row r="44" spans="1:11" ht="15" customHeight="1" x14ac:dyDescent="0.3">
      <c r="A44" s="10" t="s">
        <v>43</v>
      </c>
      <c r="B44" s="11" t="s">
        <v>15</v>
      </c>
      <c r="C44" s="12" t="s">
        <v>15</v>
      </c>
      <c r="D44" s="11" t="s">
        <v>15</v>
      </c>
      <c r="E44" s="13" t="s">
        <v>15</v>
      </c>
      <c r="F44" s="12" t="s">
        <v>15</v>
      </c>
      <c r="G44" s="12" t="s">
        <v>15</v>
      </c>
      <c r="H44" s="12" t="s">
        <v>15</v>
      </c>
      <c r="I44" s="12" t="s">
        <v>15</v>
      </c>
      <c r="J44" s="12" t="s">
        <v>15</v>
      </c>
      <c r="K44" s="12" t="s">
        <v>15</v>
      </c>
    </row>
    <row r="45" spans="1:11" ht="15" customHeight="1" x14ac:dyDescent="0.3">
      <c r="A45" s="24" t="s">
        <v>44</v>
      </c>
      <c r="B45" s="18">
        <f>[7]SCF!C41</f>
        <v>3868966716</v>
      </c>
      <c r="C45" s="18">
        <f>SUM(F45:K45)</f>
        <v>1027854781.17</v>
      </c>
      <c r="D45" s="18">
        <f>C45-B45</f>
        <v>-2841111934.8299999</v>
      </c>
      <c r="E45" s="19">
        <f>IFERROR(+D45/B45*100,0)</f>
        <v>-73.433351677094137</v>
      </c>
      <c r="F45" s="18">
        <f>[8]SCF!D41</f>
        <v>166648265.90000001</v>
      </c>
      <c r="G45" s="18">
        <f>[9]SCF!D41</f>
        <v>166061197.03999999</v>
      </c>
      <c r="H45" s="18">
        <f>[10]SCF!D41</f>
        <v>169967592.69</v>
      </c>
      <c r="I45" s="18">
        <f>[11]SCF!D41</f>
        <v>145543885.28999999</v>
      </c>
      <c r="J45" s="18">
        <f>[12]SCF!D41</f>
        <v>175697710.91</v>
      </c>
      <c r="K45" s="18">
        <f>[7]SCF!D41</f>
        <v>203936129.34</v>
      </c>
    </row>
    <row r="46" spans="1:11" ht="15" customHeight="1" x14ac:dyDescent="0.3">
      <c r="A46" s="14" t="s">
        <v>45</v>
      </c>
      <c r="B46" s="15">
        <f>[7]SCF!C42</f>
        <v>283966718</v>
      </c>
      <c r="C46" s="15">
        <f>SUM(C47:C61)</f>
        <v>140699080.34</v>
      </c>
      <c r="D46" s="15">
        <f t="shared" ref="D46:D61" si="10">+B46-C46</f>
        <v>143267637.66</v>
      </c>
      <c r="E46" s="16">
        <f t="shared" ref="E46" si="11">+D46/B46*100</f>
        <v>50.452263796632671</v>
      </c>
      <c r="F46" s="15">
        <f>[8]SCF!D42</f>
        <v>38142858.009999998</v>
      </c>
      <c r="G46" s="15">
        <f>[9]SCF!D42</f>
        <v>16635180.33</v>
      </c>
      <c r="H46" s="15">
        <f>[10]SCF!D42</f>
        <v>18428467.43</v>
      </c>
      <c r="I46" s="15">
        <f>[11]SCF!D42</f>
        <v>17052632.489999998</v>
      </c>
      <c r="J46" s="15">
        <f>[12]SCF!D42</f>
        <v>31084781.530000001</v>
      </c>
      <c r="K46" s="15">
        <f>[7]SCF!D42</f>
        <v>19355160.550000001</v>
      </c>
    </row>
    <row r="47" spans="1:11" ht="15" customHeight="1" x14ac:dyDescent="0.3">
      <c r="A47" s="17" t="s">
        <v>46</v>
      </c>
      <c r="B47" s="18">
        <f>[7]SCF!C43</f>
        <v>100249255</v>
      </c>
      <c r="C47" s="18">
        <f t="shared" ref="C47:C61" si="12">SUM(F47:K47)</f>
        <v>62756337.309999995</v>
      </c>
      <c r="D47" s="18">
        <f t="shared" si="10"/>
        <v>37492917.690000005</v>
      </c>
      <c r="E47" s="19">
        <f t="shared" ref="E47:E61" si="13">IFERROR(+D47/B47*100,0)</f>
        <v>37.399697075055577</v>
      </c>
      <c r="F47" s="18">
        <f>[8]SCF!D43</f>
        <v>12603227.35</v>
      </c>
      <c r="G47" s="18">
        <f>[9]SCF!D43</f>
        <v>9133894.5099999998</v>
      </c>
      <c r="H47" s="18">
        <f>[10]SCF!D43</f>
        <v>8851396.7599999998</v>
      </c>
      <c r="I47" s="18">
        <f>[11]SCF!D43</f>
        <v>8859945.3599999994</v>
      </c>
      <c r="J47" s="18">
        <f>[12]SCF!D43</f>
        <v>13691738.51</v>
      </c>
      <c r="K47" s="18">
        <f>[7]SCF!D43</f>
        <v>9616134.8200000003</v>
      </c>
    </row>
    <row r="48" spans="1:11" ht="15" customHeight="1" x14ac:dyDescent="0.3">
      <c r="A48" s="17" t="s">
        <v>47</v>
      </c>
      <c r="B48" s="18">
        <f>[7]SCF!C44</f>
        <v>17579241</v>
      </c>
      <c r="C48" s="18">
        <f t="shared" si="12"/>
        <v>8870286.9299999997</v>
      </c>
      <c r="D48" s="18">
        <f t="shared" si="10"/>
        <v>8708954.0700000003</v>
      </c>
      <c r="E48" s="19">
        <f t="shared" si="13"/>
        <v>49.541126775609939</v>
      </c>
      <c r="F48" s="18">
        <f>[8]SCF!D44</f>
        <v>1273618.76</v>
      </c>
      <c r="G48" s="18">
        <f>[9]SCF!D44</f>
        <v>1529337.24</v>
      </c>
      <c r="H48" s="18">
        <f>[10]SCF!D44</f>
        <v>1516897.88</v>
      </c>
      <c r="I48" s="18">
        <f>[11]SCF!D44</f>
        <v>1512413.88</v>
      </c>
      <c r="J48" s="18">
        <f>[12]SCF!D44</f>
        <v>1520350.32</v>
      </c>
      <c r="K48" s="18">
        <f>[7]SCF!D44</f>
        <v>1517668.85</v>
      </c>
    </row>
    <row r="49" spans="1:11" ht="15" customHeight="1" x14ac:dyDescent="0.3">
      <c r="A49" s="17" t="s">
        <v>48</v>
      </c>
      <c r="B49" s="18">
        <f>[7]SCF!C45</f>
        <v>74333116</v>
      </c>
      <c r="C49" s="18">
        <f t="shared" si="12"/>
        <v>23836158.870000001</v>
      </c>
      <c r="D49" s="18">
        <f t="shared" si="10"/>
        <v>50496957.129999995</v>
      </c>
      <c r="E49" s="19">
        <f t="shared" si="13"/>
        <v>67.933324805057268</v>
      </c>
      <c r="F49" s="18">
        <f>[8]SCF!D45</f>
        <v>13871106.85</v>
      </c>
      <c r="G49" s="18">
        <f>[9]SCF!D45</f>
        <v>1804009.02</v>
      </c>
      <c r="H49" s="18">
        <f>[10]SCF!D45</f>
        <v>2687467.96</v>
      </c>
      <c r="I49" s="18">
        <f>[11]SCF!D45</f>
        <v>1683259.67</v>
      </c>
      <c r="J49" s="18">
        <f>[12]SCF!D45</f>
        <v>2094248.8</v>
      </c>
      <c r="K49" s="18">
        <f>[7]SCF!D45</f>
        <v>1696066.57</v>
      </c>
    </row>
    <row r="50" spans="1:11" ht="15" customHeight="1" x14ac:dyDescent="0.3">
      <c r="A50" s="17" t="s">
        <v>49</v>
      </c>
      <c r="B50" s="18">
        <f>[7]SCF!C46</f>
        <v>1490400</v>
      </c>
      <c r="C50" s="18">
        <f t="shared" si="12"/>
        <v>576610.53</v>
      </c>
      <c r="D50" s="18">
        <f t="shared" si="10"/>
        <v>913789.47</v>
      </c>
      <c r="E50" s="19">
        <f t="shared" si="13"/>
        <v>61.311692834138483</v>
      </c>
      <c r="F50" s="18">
        <f>[8]SCF!D46</f>
        <v>140777.16</v>
      </c>
      <c r="G50" s="18">
        <f>[9]SCF!D46</f>
        <v>80639.91</v>
      </c>
      <c r="H50" s="18">
        <f>[10]SCF!D46</f>
        <v>80180.17</v>
      </c>
      <c r="I50" s="18">
        <f>[11]SCF!D46</f>
        <v>98000.1</v>
      </c>
      <c r="J50" s="18">
        <f>[12]SCF!D46</f>
        <v>88253.4</v>
      </c>
      <c r="K50" s="18">
        <f>[7]SCF!D46</f>
        <v>88759.79</v>
      </c>
    </row>
    <row r="51" spans="1:11" ht="15" customHeight="1" x14ac:dyDescent="0.3">
      <c r="A51" s="17" t="s">
        <v>50</v>
      </c>
      <c r="B51" s="18">
        <f>[7]SCF!C47</f>
        <v>2812556</v>
      </c>
      <c r="C51" s="18">
        <f t="shared" si="12"/>
        <v>1334702.79</v>
      </c>
      <c r="D51" s="18">
        <f t="shared" si="10"/>
        <v>1477853.21</v>
      </c>
      <c r="E51" s="19">
        <f t="shared" si="13"/>
        <v>52.544845684850358</v>
      </c>
      <c r="F51" s="18">
        <f>[8]SCF!D47</f>
        <v>281138.46000000002</v>
      </c>
      <c r="G51" s="18">
        <f>[9]SCF!D47</f>
        <v>313733.56</v>
      </c>
      <c r="H51" s="18">
        <f>[10]SCF!D47</f>
        <v>232250.84</v>
      </c>
      <c r="I51" s="18">
        <f>[11]SCF!D47</f>
        <v>220783.96</v>
      </c>
      <c r="J51" s="18">
        <f>[12]SCF!D47</f>
        <v>192373.91</v>
      </c>
      <c r="K51" s="18">
        <f>[7]SCF!D47</f>
        <v>94422.06</v>
      </c>
    </row>
    <row r="52" spans="1:11" x14ac:dyDescent="0.3">
      <c r="A52" s="17" t="s">
        <v>51</v>
      </c>
      <c r="B52" s="18">
        <f>[7]SCF!C48</f>
        <v>530400</v>
      </c>
      <c r="C52" s="18">
        <f t="shared" si="12"/>
        <v>648915</v>
      </c>
      <c r="D52" s="18">
        <f t="shared" si="10"/>
        <v>-118515</v>
      </c>
      <c r="E52" s="19">
        <f t="shared" si="13"/>
        <v>-22.344457013574662</v>
      </c>
      <c r="F52" s="18">
        <f>[8]SCF!D48</f>
        <v>56609</v>
      </c>
      <c r="G52" s="18">
        <f>[9]SCF!D48</f>
        <v>26130</v>
      </c>
      <c r="H52" s="18">
        <f>[10]SCF!D48</f>
        <v>58030</v>
      </c>
      <c r="I52" s="18">
        <f>[11]SCF!D48</f>
        <v>35824</v>
      </c>
      <c r="J52" s="18">
        <f>[12]SCF!D48</f>
        <v>232186</v>
      </c>
      <c r="K52" s="18">
        <f>[7]SCF!D48</f>
        <v>240136</v>
      </c>
    </row>
    <row r="53" spans="1:11" ht="15" customHeight="1" x14ac:dyDescent="0.3">
      <c r="A53" s="17" t="s">
        <v>52</v>
      </c>
      <c r="B53" s="18">
        <f>[7]SCF!C49</f>
        <v>9542250</v>
      </c>
      <c r="C53" s="18">
        <f t="shared" si="12"/>
        <v>3524186.89</v>
      </c>
      <c r="D53" s="18">
        <f t="shared" si="10"/>
        <v>6018063.1099999994</v>
      </c>
      <c r="E53" s="19">
        <f t="shared" si="13"/>
        <v>63.067548114962399</v>
      </c>
      <c r="F53" s="18">
        <f>[8]SCF!D49</f>
        <v>1128571.95</v>
      </c>
      <c r="G53" s="18">
        <f>[9]SCF!D49</f>
        <v>543151.71</v>
      </c>
      <c r="H53" s="18">
        <f>[10]SCF!D49</f>
        <v>528714.61</v>
      </c>
      <c r="I53" s="18">
        <f>[11]SCF!D49</f>
        <v>517965.98</v>
      </c>
      <c r="J53" s="18">
        <f>[12]SCF!D49</f>
        <v>443974.25</v>
      </c>
      <c r="K53" s="18">
        <f>[7]SCF!D49</f>
        <v>361808.39</v>
      </c>
    </row>
    <row r="54" spans="1:11" ht="15" customHeight="1" x14ac:dyDescent="0.3">
      <c r="A54" s="17" t="s">
        <v>53</v>
      </c>
      <c r="B54" s="18">
        <f>[7]SCF!C50</f>
        <v>5089000</v>
      </c>
      <c r="C54" s="18">
        <f t="shared" si="12"/>
        <v>2829242.41</v>
      </c>
      <c r="D54" s="18">
        <f t="shared" si="10"/>
        <v>2259757.59</v>
      </c>
      <c r="E54" s="19">
        <f t="shared" si="13"/>
        <v>44.40474729809393</v>
      </c>
      <c r="F54" s="18">
        <f>[8]SCF!D50</f>
        <v>518905.26</v>
      </c>
      <c r="G54" s="18">
        <f>[9]SCF!D50</f>
        <v>327425.28999999998</v>
      </c>
      <c r="H54" s="18">
        <f>[10]SCF!D50</f>
        <v>562299.44999999995</v>
      </c>
      <c r="I54" s="18">
        <f>[11]SCF!D50</f>
        <v>272780.78999999998</v>
      </c>
      <c r="J54" s="18">
        <f>[12]SCF!D50</f>
        <v>378077.18</v>
      </c>
      <c r="K54" s="18">
        <f>[7]SCF!D50</f>
        <v>769754.44</v>
      </c>
    </row>
    <row r="55" spans="1:11" ht="15" customHeight="1" x14ac:dyDescent="0.3">
      <c r="A55" s="17" t="s">
        <v>54</v>
      </c>
      <c r="B55" s="18">
        <f>[7]SCF!C51</f>
        <v>1320000</v>
      </c>
      <c r="C55" s="18">
        <f t="shared" si="12"/>
        <v>550200</v>
      </c>
      <c r="D55" s="18">
        <f t="shared" si="10"/>
        <v>769800</v>
      </c>
      <c r="E55" s="19">
        <f t="shared" si="13"/>
        <v>58.318181818181813</v>
      </c>
      <c r="F55" s="18">
        <f>[8]SCF!D51</f>
        <v>99000</v>
      </c>
      <c r="G55" s="18">
        <f>[9]SCF!D51</f>
        <v>99000</v>
      </c>
      <c r="H55" s="18">
        <f>[10]SCF!D51</f>
        <v>99000</v>
      </c>
      <c r="I55" s="18">
        <f>[11]SCF!D51</f>
        <v>99000</v>
      </c>
      <c r="J55" s="18">
        <f>[12]SCF!D51</f>
        <v>99000</v>
      </c>
      <c r="K55" s="18">
        <f>[7]SCF!D51</f>
        <v>55200</v>
      </c>
    </row>
    <row r="56" spans="1:11" ht="15" customHeight="1" x14ac:dyDescent="0.3">
      <c r="A56" s="17" t="s">
        <v>55</v>
      </c>
      <c r="B56" s="18">
        <f>[7]SCF!C52</f>
        <v>2712000</v>
      </c>
      <c r="C56" s="18">
        <f t="shared" si="12"/>
        <v>1193200</v>
      </c>
      <c r="D56" s="18">
        <f t="shared" si="10"/>
        <v>1518800</v>
      </c>
      <c r="E56" s="19">
        <f t="shared" si="13"/>
        <v>56.002949852507378</v>
      </c>
      <c r="F56" s="18">
        <f>[8]SCF!D52</f>
        <v>200700</v>
      </c>
      <c r="G56" s="18">
        <f>[9]SCF!D52</f>
        <v>194700</v>
      </c>
      <c r="H56" s="18">
        <f>[10]SCF!D52</f>
        <v>206700</v>
      </c>
      <c r="I56" s="18">
        <f>[11]SCF!D52</f>
        <v>194700</v>
      </c>
      <c r="J56" s="18">
        <f>[12]SCF!D52</f>
        <v>193700</v>
      </c>
      <c r="K56" s="18">
        <f>[7]SCF!D52</f>
        <v>202700</v>
      </c>
    </row>
    <row r="57" spans="1:11" ht="15" customHeight="1" x14ac:dyDescent="0.3">
      <c r="A57" s="17" t="s">
        <v>56</v>
      </c>
      <c r="B57" s="18">
        <f>[7]SCF!C53</f>
        <v>24824000</v>
      </c>
      <c r="C57" s="18">
        <f t="shared" si="12"/>
        <v>11893623.789999999</v>
      </c>
      <c r="D57" s="18">
        <f t="shared" si="10"/>
        <v>12930376.210000001</v>
      </c>
      <c r="E57" s="19">
        <f t="shared" si="13"/>
        <v>52.088205808894614</v>
      </c>
      <c r="F57" s="18">
        <f>[8]SCF!D53</f>
        <v>2102048.4</v>
      </c>
      <c r="G57" s="18">
        <f>[9]SCF!D53</f>
        <v>1906820.42</v>
      </c>
      <c r="H57" s="18">
        <f>[10]SCF!D53</f>
        <v>2263854.15</v>
      </c>
      <c r="I57" s="18">
        <f>[11]SCF!D53</f>
        <v>1564768.5</v>
      </c>
      <c r="J57" s="18">
        <f>[12]SCF!D53</f>
        <v>2152773.16</v>
      </c>
      <c r="K57" s="18">
        <f>[7]SCF!D53</f>
        <v>1903359.16</v>
      </c>
    </row>
    <row r="58" spans="1:11" ht="15" customHeight="1" x14ac:dyDescent="0.3">
      <c r="A58" s="17" t="s">
        <v>57</v>
      </c>
      <c r="B58" s="18">
        <f>[7]SCF!C54</f>
        <v>2771400</v>
      </c>
      <c r="C58" s="18">
        <f t="shared" si="12"/>
        <v>2096813.44</v>
      </c>
      <c r="D58" s="18">
        <f t="shared" si="10"/>
        <v>674586.56</v>
      </c>
      <c r="E58" s="19">
        <f t="shared" si="13"/>
        <v>24.341003103124777</v>
      </c>
      <c r="F58" s="18">
        <f>[8]SCF!D54</f>
        <v>282600</v>
      </c>
      <c r="G58" s="18">
        <f>[9]SCF!D54</f>
        <v>271878.44</v>
      </c>
      <c r="H58" s="18">
        <f>[10]SCF!D54</f>
        <v>494829</v>
      </c>
      <c r="I58" s="18">
        <f>[11]SCF!D54</f>
        <v>307493</v>
      </c>
      <c r="J58" s="18">
        <f>[12]SCF!D54</f>
        <v>346896</v>
      </c>
      <c r="K58" s="18">
        <f>[7]SCF!D54</f>
        <v>393117</v>
      </c>
    </row>
    <row r="59" spans="1:11" ht="15" customHeight="1" x14ac:dyDescent="0.3">
      <c r="A59" s="17" t="s">
        <v>58</v>
      </c>
      <c r="B59" s="18">
        <f>[7]SCF!C55</f>
        <v>31607000</v>
      </c>
      <c r="C59" s="18">
        <f t="shared" si="12"/>
        <v>14889965.469999999</v>
      </c>
      <c r="D59" s="18">
        <f t="shared" si="10"/>
        <v>16717034.530000001</v>
      </c>
      <c r="E59" s="19">
        <f t="shared" si="13"/>
        <v>52.890291802448829</v>
      </c>
      <c r="F59" s="18">
        <f>[8]SCF!D55</f>
        <v>1665709.76</v>
      </c>
      <c r="G59" s="18">
        <f>[9]SCF!D55</f>
        <v>40600</v>
      </c>
      <c r="H59" s="18">
        <f>[10]SCF!D55</f>
        <v>500727.73</v>
      </c>
      <c r="I59" s="18">
        <f>[11]SCF!D55</f>
        <v>1477163.28</v>
      </c>
      <c r="J59" s="18">
        <f>[12]SCF!D55</f>
        <v>9265281.75</v>
      </c>
      <c r="K59" s="18">
        <f>[7]SCF!D55</f>
        <v>1940482.95</v>
      </c>
    </row>
    <row r="60" spans="1:11" ht="15" customHeight="1" x14ac:dyDescent="0.3">
      <c r="A60" s="17" t="s">
        <v>59</v>
      </c>
      <c r="B60" s="18">
        <f>[7]SCF!C56</f>
        <v>5786100</v>
      </c>
      <c r="C60" s="18">
        <f t="shared" si="12"/>
        <v>4075407.54</v>
      </c>
      <c r="D60" s="18">
        <f t="shared" si="10"/>
        <v>1710692.46</v>
      </c>
      <c r="E60" s="19">
        <f t="shared" si="13"/>
        <v>29.565552963135787</v>
      </c>
      <c r="F60" s="18">
        <f>[8]SCF!D56</f>
        <v>3653317.25</v>
      </c>
      <c r="G60" s="18">
        <f>[9]SCF!D56</f>
        <v>80785.48</v>
      </c>
      <c r="H60" s="18">
        <f>[10]SCF!D56</f>
        <v>180440.07</v>
      </c>
      <c r="I60" s="18">
        <f>[11]SCF!D56</f>
        <v>17796.240000000002</v>
      </c>
      <c r="J60" s="18">
        <f>[12]SCF!D56</f>
        <v>30150</v>
      </c>
      <c r="K60" s="18">
        <f>[7]SCF!D56</f>
        <v>112918.5</v>
      </c>
    </row>
    <row r="61" spans="1:11" ht="15" customHeight="1" x14ac:dyDescent="0.3">
      <c r="A61" s="17" t="s">
        <v>60</v>
      </c>
      <c r="B61" s="18">
        <f>[7]SCF!C57</f>
        <v>3320000</v>
      </c>
      <c r="C61" s="18">
        <f t="shared" si="12"/>
        <v>1623429.37</v>
      </c>
      <c r="D61" s="18">
        <f t="shared" si="10"/>
        <v>1696570.63</v>
      </c>
      <c r="E61" s="19">
        <f t="shared" si="13"/>
        <v>51.101524999999995</v>
      </c>
      <c r="F61" s="18">
        <f>[8]SCF!D57</f>
        <v>265527.81</v>
      </c>
      <c r="G61" s="18">
        <f>[9]SCF!D57</f>
        <v>283074.75</v>
      </c>
      <c r="H61" s="18">
        <f>[10]SCF!D57</f>
        <v>165678.81</v>
      </c>
      <c r="I61" s="18">
        <f>[11]SCF!D57</f>
        <v>190737.73</v>
      </c>
      <c r="J61" s="18">
        <f>[12]SCF!D57</f>
        <v>355778.25</v>
      </c>
      <c r="K61" s="18">
        <f>[7]SCF!D57</f>
        <v>362632.02</v>
      </c>
    </row>
    <row r="62" spans="1:11" ht="15" customHeight="1" x14ac:dyDescent="0.3">
      <c r="A62" s="10" t="s">
        <v>61</v>
      </c>
      <c r="B62" s="11" t="s">
        <v>15</v>
      </c>
      <c r="C62" s="18"/>
      <c r="D62" s="11" t="s">
        <v>15</v>
      </c>
      <c r="E62" s="13" t="s">
        <v>15</v>
      </c>
      <c r="F62" s="12"/>
      <c r="G62" s="12"/>
      <c r="H62" s="12"/>
      <c r="I62" s="12"/>
      <c r="J62" s="12"/>
      <c r="K62" s="12"/>
    </row>
    <row r="63" spans="1:11" x14ac:dyDescent="0.3">
      <c r="A63" s="24" t="s">
        <v>62</v>
      </c>
      <c r="B63" s="18">
        <f>[7]SCF!C60</f>
        <v>0</v>
      </c>
      <c r="C63" s="18">
        <f t="shared" ref="C63:C64" si="14">SUM(F63:K63)</f>
        <v>0</v>
      </c>
      <c r="D63" s="18">
        <f t="shared" ref="D63:D67" si="15">C63-B63</f>
        <v>0</v>
      </c>
      <c r="E63" s="19">
        <f t="shared" ref="E63:E67" si="16">IFERROR(+D63/B63*100,0)</f>
        <v>0</v>
      </c>
      <c r="F63" s="18">
        <f>[8]SCF!D60</f>
        <v>0</v>
      </c>
      <c r="G63" s="18">
        <f>[9]SCF!D60</f>
        <v>0</v>
      </c>
      <c r="H63" s="18">
        <f>[10]SCF!D60</f>
        <v>0</v>
      </c>
      <c r="I63" s="18">
        <f>[11]SCF!D60</f>
        <v>0</v>
      </c>
      <c r="J63" s="18">
        <f>[12]SCF!D60</f>
        <v>0</v>
      </c>
      <c r="K63" s="18">
        <f>[7]SCF!D60</f>
        <v>0</v>
      </c>
    </row>
    <row r="64" spans="1:11" x14ac:dyDescent="0.3">
      <c r="A64" s="24" t="s">
        <v>63</v>
      </c>
      <c r="B64" s="18">
        <f>[7]SCF!C61</f>
        <v>30721865</v>
      </c>
      <c r="C64" s="18">
        <f t="shared" si="14"/>
        <v>0</v>
      </c>
      <c r="D64" s="18">
        <f t="shared" si="15"/>
        <v>-30721865</v>
      </c>
      <c r="E64" s="19">
        <f t="shared" si="16"/>
        <v>-100</v>
      </c>
      <c r="F64" s="18">
        <f>[8]SCF!D61</f>
        <v>0</v>
      </c>
      <c r="G64" s="18">
        <f>[9]SCF!D61</f>
        <v>0</v>
      </c>
      <c r="H64" s="18">
        <f>[10]SCF!D61</f>
        <v>0</v>
      </c>
      <c r="I64" s="18">
        <f>[11]SCF!D61</f>
        <v>0</v>
      </c>
      <c r="J64" s="18">
        <f>[12]SCF!D61</f>
        <v>0</v>
      </c>
      <c r="K64" s="18">
        <f>[7]SCF!D61</f>
        <v>0</v>
      </c>
    </row>
    <row r="65" spans="1:11" ht="15" customHeight="1" x14ac:dyDescent="0.3">
      <c r="A65" s="24" t="s">
        <v>64</v>
      </c>
      <c r="B65" s="18">
        <f>[7]SCF!C62</f>
        <v>0</v>
      </c>
      <c r="C65" s="18">
        <f>SUM(F65:K65)</f>
        <v>0</v>
      </c>
      <c r="D65" s="18">
        <f t="shared" si="15"/>
        <v>0</v>
      </c>
      <c r="E65" s="19">
        <f t="shared" si="16"/>
        <v>0</v>
      </c>
      <c r="F65" s="18">
        <f>[8]SCF!D62</f>
        <v>0</v>
      </c>
      <c r="G65" s="18">
        <f>[9]SCF!D62</f>
        <v>0</v>
      </c>
      <c r="H65" s="18">
        <f>[10]SCF!D62</f>
        <v>0</v>
      </c>
      <c r="I65" s="18">
        <f>[11]SCF!D62</f>
        <v>0</v>
      </c>
      <c r="J65" s="18">
        <f>[12]SCF!D62</f>
        <v>0</v>
      </c>
      <c r="K65" s="18">
        <f>[7]SCF!D62</f>
        <v>0</v>
      </c>
    </row>
    <row r="66" spans="1:11" ht="15" customHeight="1" x14ac:dyDescent="0.3">
      <c r="A66" s="24" t="s">
        <v>65</v>
      </c>
      <c r="B66" s="18">
        <f>[7]SCF!C63</f>
        <v>0</v>
      </c>
      <c r="C66" s="18">
        <f t="shared" ref="C66:C67" si="17">SUM(F66:K66)</f>
        <v>0</v>
      </c>
      <c r="D66" s="18">
        <f t="shared" si="15"/>
        <v>0</v>
      </c>
      <c r="E66" s="19">
        <f t="shared" si="16"/>
        <v>0</v>
      </c>
      <c r="F66" s="18">
        <f>[8]SCF!D63</f>
        <v>0</v>
      </c>
      <c r="G66" s="18">
        <f>[9]SCF!D63</f>
        <v>0</v>
      </c>
      <c r="H66" s="18">
        <f>[10]SCF!D63</f>
        <v>0</v>
      </c>
      <c r="I66" s="18">
        <f>[11]SCF!D63</f>
        <v>0</v>
      </c>
      <c r="J66" s="18">
        <f>[12]SCF!D63</f>
        <v>0</v>
      </c>
      <c r="K66" s="18">
        <f>[7]SCF!D63</f>
        <v>0</v>
      </c>
    </row>
    <row r="67" spans="1:11" ht="15" customHeight="1" x14ac:dyDescent="0.3">
      <c r="A67" s="24" t="s">
        <v>66</v>
      </c>
      <c r="B67" s="18">
        <f>[7]SCF!C64</f>
        <v>4000000</v>
      </c>
      <c r="C67" s="18">
        <f t="shared" si="17"/>
        <v>2386640.5499999998</v>
      </c>
      <c r="D67" s="18">
        <f t="shared" si="15"/>
        <v>-1613359.4500000002</v>
      </c>
      <c r="E67" s="19">
        <f t="shared" si="16"/>
        <v>-40.333986250000002</v>
      </c>
      <c r="F67" s="18">
        <f>[8]SCF!D64</f>
        <v>657239.28</v>
      </c>
      <c r="G67" s="18">
        <f>[9]SCF!D64</f>
        <v>957093.7</v>
      </c>
      <c r="H67" s="18">
        <f>[10]SCF!D64</f>
        <v>0</v>
      </c>
      <c r="I67" s="18">
        <f>[11]SCF!D64</f>
        <v>194990.95</v>
      </c>
      <c r="J67" s="18">
        <f>[12]SCF!D64</f>
        <v>555796</v>
      </c>
      <c r="K67" s="18">
        <f>[7]SCF!D64</f>
        <v>21520.62</v>
      </c>
    </row>
    <row r="68" spans="1:11" ht="15" customHeight="1" x14ac:dyDescent="0.3">
      <c r="A68" s="30" t="s">
        <v>67</v>
      </c>
      <c r="B68" s="15">
        <f>+B63+B64+B65+B66+B67</f>
        <v>34721865</v>
      </c>
      <c r="C68" s="31">
        <f>+C63+C64+C65+C66+C67</f>
        <v>2386640.5499999998</v>
      </c>
      <c r="D68" s="31">
        <f t="shared" ref="D68" si="18">+C68-B68</f>
        <v>-32335224.449999999</v>
      </c>
      <c r="E68" s="32">
        <f t="shared" ref="E68" si="19">+D68/B68*100</f>
        <v>-93.126404500449496</v>
      </c>
      <c r="F68" s="31">
        <f t="shared" ref="F68:K68" si="20">+F63+F64+F65+F66+F67</f>
        <v>657239.28</v>
      </c>
      <c r="G68" s="31">
        <f>[9]SCF!D65</f>
        <v>957093.7</v>
      </c>
      <c r="H68" s="31">
        <f t="shared" si="20"/>
        <v>0</v>
      </c>
      <c r="I68" s="31">
        <f t="shared" si="20"/>
        <v>194990.95</v>
      </c>
      <c r="J68" s="31">
        <f t="shared" si="20"/>
        <v>555796</v>
      </c>
      <c r="K68" s="31">
        <f t="shared" si="20"/>
        <v>21520.62</v>
      </c>
    </row>
    <row r="69" spans="1:11" ht="15" customHeight="1" x14ac:dyDescent="0.3">
      <c r="A69" s="10" t="s">
        <v>68</v>
      </c>
      <c r="B69" s="11" t="s">
        <v>15</v>
      </c>
      <c r="C69" s="12" t="s">
        <v>15</v>
      </c>
      <c r="D69" s="11" t="s">
        <v>15</v>
      </c>
      <c r="E69" s="13" t="s">
        <v>15</v>
      </c>
      <c r="F69" s="12" t="s">
        <v>15</v>
      </c>
      <c r="G69" s="12" t="s">
        <v>15</v>
      </c>
      <c r="H69" s="12" t="s">
        <v>15</v>
      </c>
      <c r="I69" s="12" t="s">
        <v>15</v>
      </c>
      <c r="J69" s="12" t="s">
        <v>15</v>
      </c>
      <c r="K69" s="12" t="s">
        <v>15</v>
      </c>
    </row>
    <row r="70" spans="1:11" ht="15" customHeight="1" x14ac:dyDescent="0.3">
      <c r="A70" s="14" t="s">
        <v>69</v>
      </c>
      <c r="B70" s="15">
        <f>[7]SCF!C67</f>
        <v>59224452</v>
      </c>
      <c r="C70" s="15">
        <f>SUM(C71:C76)</f>
        <v>24008695.459999997</v>
      </c>
      <c r="D70" s="15">
        <f t="shared" ref="D70:D82" si="21">+C70-B70</f>
        <v>-35215756.540000007</v>
      </c>
      <c r="E70" s="16">
        <f t="shared" ref="E70:E82" si="22">+D70/B70*100</f>
        <v>-59.461515220098626</v>
      </c>
      <c r="F70" s="15">
        <f>[8]SCF!D67</f>
        <v>4034434.14</v>
      </c>
      <c r="G70" s="15">
        <f>[9]SCF!D67</f>
        <v>3987746.56</v>
      </c>
      <c r="H70" s="15">
        <f>[10]SCF!D67</f>
        <v>4401649.7300000004</v>
      </c>
      <c r="I70" s="15">
        <f>[11]SCF!D67</f>
        <v>3542499.71</v>
      </c>
      <c r="J70" s="15">
        <f>[12]SCF!D67</f>
        <v>4187440.48</v>
      </c>
      <c r="K70" s="15">
        <f>[7]SCF!D67</f>
        <v>3854924.84</v>
      </c>
    </row>
    <row r="71" spans="1:11" ht="15" customHeight="1" x14ac:dyDescent="0.3">
      <c r="A71" s="17" t="s">
        <v>20</v>
      </c>
      <c r="B71" s="18">
        <f>[7]SCF!C68</f>
        <v>45974134.68</v>
      </c>
      <c r="C71" s="18">
        <f t="shared" ref="C71:C81" si="23">SUM(F71:K71)</f>
        <v>19211375.899999999</v>
      </c>
      <c r="D71" s="18">
        <f t="shared" si="21"/>
        <v>-26762758.780000001</v>
      </c>
      <c r="E71" s="19">
        <f t="shared" ref="E71:E81" si="24">IFERROR(+D71/B71*100,0)</f>
        <v>-58.21264275288803</v>
      </c>
      <c r="F71" s="18">
        <f>[8]SCF!D68</f>
        <v>3228633.79</v>
      </c>
      <c r="G71" s="18">
        <f>[9]SCF!D68</f>
        <v>3191271.15</v>
      </c>
      <c r="H71" s="18">
        <f>[10]SCF!D68</f>
        <v>3522505.15</v>
      </c>
      <c r="I71" s="18">
        <f>[11]SCF!D68</f>
        <v>2834953.76</v>
      </c>
      <c r="J71" s="18">
        <f>[12]SCF!D68</f>
        <v>3351080.06</v>
      </c>
      <c r="K71" s="18">
        <f>[7]SCF!D68</f>
        <v>3082931.99</v>
      </c>
    </row>
    <row r="72" spans="1:11" ht="15" customHeight="1" x14ac:dyDescent="0.3">
      <c r="A72" s="17" t="s">
        <v>21</v>
      </c>
      <c r="B72" s="18">
        <f>[7]SCF!C69</f>
        <v>506191.9</v>
      </c>
      <c r="C72" s="18">
        <f t="shared" si="23"/>
        <v>185727.38</v>
      </c>
      <c r="D72" s="18">
        <f t="shared" si="21"/>
        <v>-320464.52</v>
      </c>
      <c r="E72" s="19">
        <f t="shared" si="24"/>
        <v>-63.30889925342543</v>
      </c>
      <c r="F72" s="18">
        <f>[8]SCF!D69</f>
        <v>30783.38</v>
      </c>
      <c r="G72" s="18">
        <f>[9]SCF!D69</f>
        <v>30427.15</v>
      </c>
      <c r="H72" s="18">
        <f>[10]SCF!D69</f>
        <v>33585.300000000003</v>
      </c>
      <c r="I72" s="18">
        <f>[11]SCF!D69</f>
        <v>27029.85</v>
      </c>
      <c r="J72" s="18">
        <f>[12]SCF!D69</f>
        <v>31950.85</v>
      </c>
      <c r="K72" s="18">
        <f>[7]SCF!D69</f>
        <v>31950.85</v>
      </c>
    </row>
    <row r="73" spans="1:11" ht="15" customHeight="1" x14ac:dyDescent="0.3">
      <c r="A73" s="17" t="s">
        <v>22</v>
      </c>
      <c r="B73" s="18">
        <f>[7]SCF!C70</f>
        <v>0</v>
      </c>
      <c r="C73" s="18">
        <f t="shared" si="23"/>
        <v>0</v>
      </c>
      <c r="D73" s="18">
        <f t="shared" si="21"/>
        <v>0</v>
      </c>
      <c r="E73" s="19">
        <f t="shared" si="24"/>
        <v>0</v>
      </c>
      <c r="F73" s="18">
        <f>[8]SCF!D70</f>
        <v>0</v>
      </c>
      <c r="G73" s="18">
        <f>[9]SCF!D70</f>
        <v>0</v>
      </c>
      <c r="H73" s="18">
        <f>[10]SCF!D70</f>
        <v>0</v>
      </c>
      <c r="I73" s="18">
        <f>[11]SCF!D70</f>
        <v>0</v>
      </c>
      <c r="J73" s="18">
        <f>[12]SCF!D70</f>
        <v>0</v>
      </c>
      <c r="K73" s="18">
        <f>[7]SCF!D70</f>
        <v>0</v>
      </c>
    </row>
    <row r="74" spans="1:11" ht="15" customHeight="1" x14ac:dyDescent="0.3">
      <c r="A74" s="17" t="s">
        <v>70</v>
      </c>
      <c r="B74" s="18">
        <f>[7]SCF!C71</f>
        <v>0</v>
      </c>
      <c r="C74" s="18">
        <f t="shared" si="23"/>
        <v>0</v>
      </c>
      <c r="D74" s="18">
        <f t="shared" si="21"/>
        <v>0</v>
      </c>
      <c r="E74" s="19">
        <f t="shared" si="24"/>
        <v>0</v>
      </c>
      <c r="F74" s="18">
        <f>[8]SCF!D71</f>
        <v>0</v>
      </c>
      <c r="G74" s="18">
        <f>[9]SCF!D71</f>
        <v>0</v>
      </c>
      <c r="H74" s="18">
        <f>[10]SCF!D71</f>
        <v>0</v>
      </c>
      <c r="I74" s="18">
        <f>[11]SCF!D71</f>
        <v>0</v>
      </c>
      <c r="J74" s="18">
        <f>[12]SCF!D71</f>
        <v>0</v>
      </c>
      <c r="K74" s="18">
        <f>[7]SCF!D71</f>
        <v>0</v>
      </c>
    </row>
    <row r="75" spans="1:11" ht="15" customHeight="1" x14ac:dyDescent="0.3">
      <c r="A75" s="17" t="s">
        <v>24</v>
      </c>
      <c r="B75" s="18">
        <f>[7]SCF!C72</f>
        <v>12744125.42</v>
      </c>
      <c r="C75" s="18">
        <f t="shared" si="23"/>
        <v>4611592.18</v>
      </c>
      <c r="D75" s="18">
        <f t="shared" si="21"/>
        <v>-8132533.2400000002</v>
      </c>
      <c r="E75" s="19">
        <f t="shared" si="24"/>
        <v>-63.81397680877501</v>
      </c>
      <c r="F75" s="18">
        <f>[8]SCF!D72</f>
        <v>775016.97</v>
      </c>
      <c r="G75" s="18">
        <f>[9]SCF!D72</f>
        <v>766048.26</v>
      </c>
      <c r="H75" s="18">
        <f>[10]SCF!D72</f>
        <v>845559.28</v>
      </c>
      <c r="I75" s="18">
        <f>[11]SCF!D72</f>
        <v>680516.1</v>
      </c>
      <c r="J75" s="18">
        <f>[12]SCF!D72</f>
        <v>804409.57</v>
      </c>
      <c r="K75" s="18">
        <f>[7]SCF!D72</f>
        <v>740042</v>
      </c>
    </row>
    <row r="76" spans="1:11" ht="15" customHeight="1" x14ac:dyDescent="0.3">
      <c r="A76" s="17" t="s">
        <v>25</v>
      </c>
      <c r="B76" s="18">
        <f>[7]SCF!C73</f>
        <v>0</v>
      </c>
      <c r="C76" s="18">
        <f t="shared" si="23"/>
        <v>0</v>
      </c>
      <c r="D76" s="18">
        <f t="shared" si="21"/>
        <v>0</v>
      </c>
      <c r="E76" s="19">
        <f t="shared" si="24"/>
        <v>0</v>
      </c>
      <c r="F76" s="18">
        <f>[8]SCF!D73</f>
        <v>0</v>
      </c>
      <c r="G76" s="18">
        <f>[9]SCF!D73</f>
        <v>0</v>
      </c>
      <c r="H76" s="18">
        <f>[10]SCF!D73</f>
        <v>0</v>
      </c>
      <c r="I76" s="18">
        <f>[11]SCF!D73</f>
        <v>0</v>
      </c>
      <c r="J76" s="18">
        <f>[12]SCF!D73</f>
        <v>0</v>
      </c>
      <c r="K76" s="18">
        <f>[7]SCF!D73</f>
        <v>0</v>
      </c>
    </row>
    <row r="77" spans="1:11" x14ac:dyDescent="0.3">
      <c r="A77" s="24" t="s">
        <v>71</v>
      </c>
      <c r="B77" s="18">
        <f>[7]SCF!C74</f>
        <v>29229846</v>
      </c>
      <c r="C77" s="18">
        <f t="shared" si="23"/>
        <v>990543.8899999999</v>
      </c>
      <c r="D77" s="18">
        <f t="shared" ref="D77:D81" si="25">C77-B77</f>
        <v>-28239302.109999999</v>
      </c>
      <c r="E77" s="19">
        <f t="shared" si="24"/>
        <v>-96.611190185538447</v>
      </c>
      <c r="F77" s="18">
        <f>[8]SCF!D74</f>
        <v>707638.53</v>
      </c>
      <c r="G77" s="18">
        <f>[9]SCF!D74</f>
        <v>173797.93</v>
      </c>
      <c r="H77" s="18">
        <f>[10]SCF!D74</f>
        <v>75900.639999999999</v>
      </c>
      <c r="I77" s="18">
        <f>[11]SCF!D74</f>
        <v>30259.599999999999</v>
      </c>
      <c r="J77" s="18">
        <f>[12]SCF!D74</f>
        <v>2947.19</v>
      </c>
      <c r="K77" s="18">
        <f>[7]SCF!D74</f>
        <v>0</v>
      </c>
    </row>
    <row r="78" spans="1:11" x14ac:dyDescent="0.3">
      <c r="A78" s="24" t="s">
        <v>72</v>
      </c>
      <c r="B78" s="18">
        <f>[7]SCF!C75</f>
        <v>472449148</v>
      </c>
      <c r="C78" s="18">
        <f t="shared" si="23"/>
        <v>130795007.32000001</v>
      </c>
      <c r="D78" s="18">
        <f t="shared" si="25"/>
        <v>-341654140.68000001</v>
      </c>
      <c r="E78" s="19">
        <f t="shared" si="24"/>
        <v>-72.315537476638653</v>
      </c>
      <c r="F78" s="18">
        <f>[8]SCF!D75</f>
        <v>23663052.59</v>
      </c>
      <c r="G78" s="18">
        <f>[9]SCF!D75</f>
        <v>17018302.440000001</v>
      </c>
      <c r="H78" s="18">
        <f>[10]SCF!D75</f>
        <v>19803240.940000001</v>
      </c>
      <c r="I78" s="18">
        <f>[11]SCF!D75</f>
        <v>26487445.960000001</v>
      </c>
      <c r="J78" s="18">
        <f>[12]SCF!D75</f>
        <v>22397555.829999998</v>
      </c>
      <c r="K78" s="18">
        <f>[7]SCF!D75</f>
        <v>21425409.559999999</v>
      </c>
    </row>
    <row r="79" spans="1:11" ht="15" customHeight="1" x14ac:dyDescent="0.3">
      <c r="A79" s="24" t="s">
        <v>73</v>
      </c>
      <c r="B79" s="18">
        <f>[7]SCF!C76</f>
        <v>2156280</v>
      </c>
      <c r="C79" s="18">
        <f t="shared" si="23"/>
        <v>0</v>
      </c>
      <c r="D79" s="18">
        <f t="shared" si="25"/>
        <v>-2156280</v>
      </c>
      <c r="E79" s="19">
        <f t="shared" si="24"/>
        <v>-100</v>
      </c>
      <c r="F79" s="18">
        <f>[8]SCF!D76</f>
        <v>0</v>
      </c>
      <c r="G79" s="18">
        <f>[9]SCF!D76</f>
        <v>0</v>
      </c>
      <c r="H79" s="18">
        <f>[10]SCF!D76</f>
        <v>0</v>
      </c>
      <c r="I79" s="18">
        <f>[11]SCF!D76</f>
        <v>0</v>
      </c>
      <c r="J79" s="18">
        <f>[12]SCF!D76</f>
        <v>0</v>
      </c>
      <c r="K79" s="18">
        <f>[7]SCF!D76</f>
        <v>0</v>
      </c>
    </row>
    <row r="80" spans="1:11" x14ac:dyDescent="0.3">
      <c r="A80" s="24" t="s">
        <v>74</v>
      </c>
      <c r="B80" s="18">
        <f>[7]SCF!C77</f>
        <v>6000000</v>
      </c>
      <c r="C80" s="18">
        <f t="shared" si="23"/>
        <v>8565494.9299999997</v>
      </c>
      <c r="D80" s="18">
        <f t="shared" si="25"/>
        <v>2565494.9299999997</v>
      </c>
      <c r="E80" s="19">
        <f t="shared" si="24"/>
        <v>42.758248833333326</v>
      </c>
      <c r="F80" s="18">
        <f>[8]SCF!D77</f>
        <v>78238.34</v>
      </c>
      <c r="G80" s="18">
        <f>[9]SCF!D77</f>
        <v>110956.99</v>
      </c>
      <c r="H80" s="18">
        <f>[10]SCF!D77</f>
        <v>260695.85</v>
      </c>
      <c r="I80" s="18">
        <f>[11]SCF!D77</f>
        <v>7763692.5800000001</v>
      </c>
      <c r="J80" s="18">
        <f>[12]SCF!D77</f>
        <v>229789.38</v>
      </c>
      <c r="K80" s="18">
        <f>[7]SCF!D77</f>
        <v>122121.79</v>
      </c>
    </row>
    <row r="81" spans="1:11" x14ac:dyDescent="0.3">
      <c r="A81" s="24" t="s">
        <v>75</v>
      </c>
      <c r="B81" s="18">
        <f>[7]SCF!C78</f>
        <v>0</v>
      </c>
      <c r="C81" s="18">
        <f t="shared" si="23"/>
        <v>0</v>
      </c>
      <c r="D81" s="18">
        <f t="shared" si="25"/>
        <v>0</v>
      </c>
      <c r="E81" s="19">
        <f t="shared" si="24"/>
        <v>0</v>
      </c>
      <c r="F81" s="18">
        <f>[8]SCF!D78</f>
        <v>0</v>
      </c>
      <c r="G81" s="18">
        <f>[9]SCF!D78</f>
        <v>0</v>
      </c>
      <c r="H81" s="18">
        <f>[10]SCF!D78</f>
        <v>0</v>
      </c>
      <c r="I81" s="18">
        <f>[11]SCF!D78</f>
        <v>0</v>
      </c>
      <c r="J81" s="18">
        <f>[12]SCF!D78</f>
        <v>0</v>
      </c>
      <c r="K81" s="18">
        <f>[7]SCF!D78</f>
        <v>0</v>
      </c>
    </row>
    <row r="82" spans="1:11" ht="15" customHeight="1" x14ac:dyDescent="0.3">
      <c r="A82" s="30" t="s">
        <v>76</v>
      </c>
      <c r="B82" s="15">
        <f>+B70+B77+B78+B79+B80+B81</f>
        <v>569059726</v>
      </c>
      <c r="C82" s="31">
        <f>+C70+C77+C78+C79+C80+C81</f>
        <v>164359741.60000002</v>
      </c>
      <c r="D82" s="31">
        <f t="shared" si="21"/>
        <v>-404699984.39999998</v>
      </c>
      <c r="E82" s="32">
        <f t="shared" si="22"/>
        <v>-71.117312631609423</v>
      </c>
      <c r="F82" s="31">
        <f t="shared" ref="F82:K82" si="26">+F70+F77+F78+F79+F80+F81</f>
        <v>28483363.599999998</v>
      </c>
      <c r="G82" s="31">
        <f t="shared" si="26"/>
        <v>21290803.919999998</v>
      </c>
      <c r="H82" s="31">
        <f t="shared" si="26"/>
        <v>24541487.160000004</v>
      </c>
      <c r="I82" s="31">
        <f t="shared" si="26"/>
        <v>37823897.850000001</v>
      </c>
      <c r="J82" s="31">
        <f t="shared" si="26"/>
        <v>26817732.879999999</v>
      </c>
      <c r="K82" s="31">
        <f t="shared" si="26"/>
        <v>25402456.189999998</v>
      </c>
    </row>
    <row r="83" spans="1:11" ht="15" customHeight="1" x14ac:dyDescent="0.3">
      <c r="A83" s="10" t="s">
        <v>77</v>
      </c>
      <c r="B83" s="11" t="s">
        <v>15</v>
      </c>
      <c r="C83" s="12" t="s">
        <v>15</v>
      </c>
      <c r="D83" s="11" t="s">
        <v>15</v>
      </c>
      <c r="E83" s="13" t="s">
        <v>15</v>
      </c>
      <c r="F83" s="12" t="s">
        <v>15</v>
      </c>
      <c r="G83" s="12" t="s">
        <v>15</v>
      </c>
      <c r="H83" s="12"/>
      <c r="I83" s="12" t="s">
        <v>15</v>
      </c>
      <c r="J83" s="12" t="s">
        <v>15</v>
      </c>
      <c r="K83" s="12"/>
    </row>
    <row r="84" spans="1:11" ht="15" customHeight="1" x14ac:dyDescent="0.3">
      <c r="A84" s="24" t="s">
        <v>78</v>
      </c>
      <c r="B84" s="18">
        <f>[7]SCF!C81</f>
        <v>0</v>
      </c>
      <c r="C84" s="18">
        <f t="shared" ref="C84:C86" si="27">SUM(F84:K84)</f>
        <v>0</v>
      </c>
      <c r="D84" s="18">
        <f t="shared" ref="D84:D88" si="28">+C84-B84</f>
        <v>0</v>
      </c>
      <c r="E84" s="19">
        <f t="shared" ref="E84:E86" si="29">IFERROR(+D84/B84*100,0)</f>
        <v>0</v>
      </c>
      <c r="F84" s="18">
        <f>[8]SCF!D81</f>
        <v>0</v>
      </c>
      <c r="G84" s="18">
        <f>[9]SCF!D81</f>
        <v>0</v>
      </c>
      <c r="H84" s="18">
        <f>[10]SCF!D81</f>
        <v>0</v>
      </c>
      <c r="I84" s="18">
        <f>[11]SCF!D81</f>
        <v>0</v>
      </c>
      <c r="J84" s="18">
        <f>[12]SCF!D81</f>
        <v>0</v>
      </c>
      <c r="K84" s="18">
        <f>[7]SCF!D81</f>
        <v>0</v>
      </c>
    </row>
    <row r="85" spans="1:11" ht="15" customHeight="1" x14ac:dyDescent="0.3">
      <c r="A85" s="24" t="s">
        <v>79</v>
      </c>
      <c r="B85" s="18">
        <f>[7]SCF!C82</f>
        <v>260479187</v>
      </c>
      <c r="C85" s="18">
        <f t="shared" si="27"/>
        <v>11177456.020000001</v>
      </c>
      <c r="D85" s="18">
        <f t="shared" si="28"/>
        <v>-249301730.97999999</v>
      </c>
      <c r="E85" s="19">
        <f t="shared" si="29"/>
        <v>-95.70888709046838</v>
      </c>
      <c r="F85" s="18">
        <f>[8]SCF!D82</f>
        <v>6320744.1100000003</v>
      </c>
      <c r="G85" s="18">
        <f>[9]SCF!D82</f>
        <v>709210.71</v>
      </c>
      <c r="H85" s="18">
        <f>[10]SCF!D82</f>
        <v>930659.68</v>
      </c>
      <c r="I85" s="18">
        <f>[11]SCF!D82</f>
        <v>148115.62</v>
      </c>
      <c r="J85" s="18">
        <f>[12]SCF!D82</f>
        <v>1303627.68</v>
      </c>
      <c r="K85" s="18">
        <f>[7]SCF!D82</f>
        <v>1765098.22</v>
      </c>
    </row>
    <row r="86" spans="1:11" ht="15" customHeight="1" x14ac:dyDescent="0.3">
      <c r="A86" s="24" t="s">
        <v>80</v>
      </c>
      <c r="B86" s="18">
        <f>[7]SCF!C83</f>
        <v>56592335</v>
      </c>
      <c r="C86" s="18">
        <f t="shared" si="27"/>
        <v>3804025.02</v>
      </c>
      <c r="D86" s="18">
        <f t="shared" si="28"/>
        <v>-52788309.979999997</v>
      </c>
      <c r="E86" s="19">
        <f t="shared" si="29"/>
        <v>-93.278197444936666</v>
      </c>
      <c r="F86" s="18">
        <f>[8]SCF!D83</f>
        <v>1280692.17</v>
      </c>
      <c r="G86" s="18">
        <f>[9]SCF!D83</f>
        <v>448216.11</v>
      </c>
      <c r="H86" s="18">
        <f>[10]SCF!D83</f>
        <v>335462.75</v>
      </c>
      <c r="I86" s="18">
        <f>[11]SCF!D83</f>
        <v>150751.88</v>
      </c>
      <c r="J86" s="18">
        <f>[12]SCF!D83</f>
        <v>387084.26</v>
      </c>
      <c r="K86" s="18">
        <f>[7]SCF!D83</f>
        <v>1201817.8500000001</v>
      </c>
    </row>
    <row r="87" spans="1:11" ht="15" customHeight="1" x14ac:dyDescent="0.3">
      <c r="A87" s="30" t="s">
        <v>81</v>
      </c>
      <c r="B87" s="33">
        <f>+B84+B85+B86</f>
        <v>317071522</v>
      </c>
      <c r="C87" s="31">
        <f>+C84+C85+C86</f>
        <v>14981481.040000001</v>
      </c>
      <c r="D87" s="31">
        <f t="shared" si="28"/>
        <v>-302090040.95999998</v>
      </c>
      <c r="E87" s="32">
        <f>+D87/B87*100</f>
        <v>-95.275046795277945</v>
      </c>
      <c r="F87" s="31">
        <f t="shared" ref="F87:K87" si="30">+F84+F85+F86</f>
        <v>7601436.2800000003</v>
      </c>
      <c r="G87" s="31">
        <f t="shared" si="30"/>
        <v>1157426.8199999998</v>
      </c>
      <c r="H87" s="31">
        <f t="shared" si="30"/>
        <v>1266122.4300000002</v>
      </c>
      <c r="I87" s="31">
        <f t="shared" si="30"/>
        <v>298867.5</v>
      </c>
      <c r="J87" s="31">
        <f t="shared" si="30"/>
        <v>1690711.94</v>
      </c>
      <c r="K87" s="31">
        <f t="shared" si="30"/>
        <v>2966916.0700000003</v>
      </c>
    </row>
    <row r="88" spans="1:11" ht="18" customHeight="1" x14ac:dyDescent="0.3">
      <c r="A88" s="25" t="s">
        <v>82</v>
      </c>
      <c r="B88" s="27">
        <f>+B45+B46+B68+B82+B87</f>
        <v>5073786547</v>
      </c>
      <c r="C88" s="27">
        <f>+C45+C46+C68+C82+C87</f>
        <v>1350281724.6999998</v>
      </c>
      <c r="D88" s="27">
        <f t="shared" si="28"/>
        <v>-3723504822.3000002</v>
      </c>
      <c r="E88" s="28">
        <f>+D88/B88*100</f>
        <v>-73.387100300890921</v>
      </c>
      <c r="F88" s="27">
        <f t="shared" ref="F88:K88" si="31">+F45+F46+F68+F82+F87</f>
        <v>241533163.06999999</v>
      </c>
      <c r="G88" s="27">
        <f t="shared" si="31"/>
        <v>206101701.80999997</v>
      </c>
      <c r="H88" s="27">
        <f t="shared" si="31"/>
        <v>214203669.71000001</v>
      </c>
      <c r="I88" s="27">
        <f t="shared" si="31"/>
        <v>200914274.07999998</v>
      </c>
      <c r="J88" s="27">
        <f t="shared" si="31"/>
        <v>235846733.25999999</v>
      </c>
      <c r="K88" s="27">
        <f t="shared" si="31"/>
        <v>251682182.77000001</v>
      </c>
    </row>
    <row r="89" spans="1:11" x14ac:dyDescent="0.3">
      <c r="A89" s="29" t="s">
        <v>15</v>
      </c>
      <c r="B89" s="3"/>
      <c r="C89" s="3"/>
      <c r="D89" s="3"/>
      <c r="E89" s="3"/>
    </row>
    <row r="90" spans="1:11" ht="15" customHeight="1" x14ac:dyDescent="0.3">
      <c r="A90" s="10" t="s">
        <v>83</v>
      </c>
      <c r="B90" s="11" t="s">
        <v>15</v>
      </c>
      <c r="C90" s="12" t="s">
        <v>15</v>
      </c>
      <c r="D90" s="11" t="s">
        <v>15</v>
      </c>
      <c r="E90" s="13" t="s">
        <v>15</v>
      </c>
      <c r="F90" s="12" t="s">
        <v>15</v>
      </c>
      <c r="G90" s="12" t="s">
        <v>15</v>
      </c>
      <c r="H90" s="12" t="s">
        <v>15</v>
      </c>
      <c r="I90" s="12" t="s">
        <v>15</v>
      </c>
      <c r="J90" s="12" t="s">
        <v>15</v>
      </c>
      <c r="K90" s="12" t="s">
        <v>15</v>
      </c>
    </row>
    <row r="91" spans="1:11" x14ac:dyDescent="0.3">
      <c r="A91" s="24" t="s">
        <v>84</v>
      </c>
      <c r="B91" s="18">
        <f>[7]SCF!C88</f>
        <v>0</v>
      </c>
      <c r="C91" s="18">
        <f t="shared" ref="C91:C97" si="32">SUM(F91:K91)</f>
        <v>0</v>
      </c>
      <c r="D91" s="18">
        <f t="shared" ref="D91:D98" si="33">+C91-B91</f>
        <v>0</v>
      </c>
      <c r="E91" s="19">
        <f>IFERROR(+D91/B91*100,0)</f>
        <v>0</v>
      </c>
      <c r="F91" s="18">
        <f>[8]SCF!D88</f>
        <v>0</v>
      </c>
      <c r="G91" s="18">
        <f>[9]SCF!D88</f>
        <v>0</v>
      </c>
      <c r="H91" s="18">
        <f>[10]SCF!D88</f>
        <v>0</v>
      </c>
      <c r="I91" s="18">
        <f>[11]SCF!D88</f>
        <v>0</v>
      </c>
      <c r="J91" s="18">
        <f>[12]SCF!D88</f>
        <v>0</v>
      </c>
      <c r="K91" s="18">
        <f>[7]SCF!D88</f>
        <v>0</v>
      </c>
    </row>
    <row r="92" spans="1:11" ht="15" customHeight="1" x14ac:dyDescent="0.3">
      <c r="A92" s="24" t="s">
        <v>85</v>
      </c>
      <c r="B92" s="18">
        <f>[7]SCF!C89</f>
        <v>0</v>
      </c>
      <c r="C92" s="18">
        <f t="shared" si="32"/>
        <v>0</v>
      </c>
      <c r="D92" s="18">
        <f t="shared" si="33"/>
        <v>0</v>
      </c>
      <c r="E92" s="19">
        <f t="shared" ref="E92:E97" si="34">IFERROR(+D92/B92*100,0)</f>
        <v>0</v>
      </c>
      <c r="F92" s="18">
        <f>[8]SCF!D89</f>
        <v>0</v>
      </c>
      <c r="G92" s="18">
        <f>[9]SCF!D89</f>
        <v>0</v>
      </c>
      <c r="H92" s="18">
        <f>[10]SCF!D89</f>
        <v>0</v>
      </c>
      <c r="I92" s="18">
        <f>[11]SCF!D89</f>
        <v>0</v>
      </c>
      <c r="J92" s="18">
        <f>[12]SCF!D89</f>
        <v>0</v>
      </c>
      <c r="K92" s="18">
        <f>[7]SCF!D89</f>
        <v>0</v>
      </c>
    </row>
    <row r="93" spans="1:11" ht="15" customHeight="1" x14ac:dyDescent="0.3">
      <c r="A93" s="24" t="s">
        <v>86</v>
      </c>
      <c r="B93" s="18">
        <f>[7]SCF!C90</f>
        <v>15272552</v>
      </c>
      <c r="C93" s="18">
        <f t="shared" si="32"/>
        <v>21317701.260000002</v>
      </c>
      <c r="D93" s="18">
        <f t="shared" si="33"/>
        <v>6045149.2600000016</v>
      </c>
      <c r="E93" s="19">
        <f t="shared" si="34"/>
        <v>39.581788688622581</v>
      </c>
      <c r="F93" s="18">
        <f>[8]SCF!D90</f>
        <v>3948381.41</v>
      </c>
      <c r="G93" s="18">
        <f>[9]SCF!D90</f>
        <v>2966276.72</v>
      </c>
      <c r="H93" s="18">
        <f>[10]SCF!D90</f>
        <v>1000000</v>
      </c>
      <c r="I93" s="18">
        <f>[11]SCF!D90</f>
        <v>3349987</v>
      </c>
      <c r="J93" s="18">
        <f>[12]SCF!D90</f>
        <v>1000000</v>
      </c>
      <c r="K93" s="18">
        <f>[7]SCF!D90</f>
        <v>9053056.1300000008</v>
      </c>
    </row>
    <row r="94" spans="1:11" ht="15" customHeight="1" x14ac:dyDescent="0.3">
      <c r="A94" s="24" t="s">
        <v>87</v>
      </c>
      <c r="B94" s="18">
        <f>[7]SCF!C91</f>
        <v>0</v>
      </c>
      <c r="C94" s="18">
        <f t="shared" si="32"/>
        <v>0</v>
      </c>
      <c r="D94" s="18">
        <f t="shared" si="33"/>
        <v>0</v>
      </c>
      <c r="E94" s="19">
        <f t="shared" si="34"/>
        <v>0</v>
      </c>
      <c r="F94" s="18">
        <f>[8]SCF!D91</f>
        <v>0</v>
      </c>
      <c r="G94" s="18">
        <f>[9]SCF!D91</f>
        <v>0</v>
      </c>
      <c r="H94" s="18">
        <f>[10]SCF!D91</f>
        <v>0</v>
      </c>
      <c r="I94" s="18">
        <f>[11]SCF!D91</f>
        <v>0</v>
      </c>
      <c r="J94" s="18">
        <f>[12]SCF!D91</f>
        <v>0</v>
      </c>
      <c r="K94" s="18">
        <f>[7]SCF!D91</f>
        <v>0</v>
      </c>
    </row>
    <row r="95" spans="1:11" ht="15" customHeight="1" x14ac:dyDescent="0.3">
      <c r="A95" s="24" t="s">
        <v>88</v>
      </c>
      <c r="B95" s="18">
        <f>[7]SCF!C92</f>
        <v>0</v>
      </c>
      <c r="C95" s="18">
        <f t="shared" si="32"/>
        <v>0</v>
      </c>
      <c r="D95" s="18">
        <f t="shared" si="33"/>
        <v>0</v>
      </c>
      <c r="E95" s="19">
        <f t="shared" si="34"/>
        <v>0</v>
      </c>
      <c r="F95" s="18">
        <f>[8]SCF!D92</f>
        <v>0</v>
      </c>
      <c r="G95" s="18">
        <f>[9]SCF!D92</f>
        <v>0</v>
      </c>
      <c r="H95" s="18">
        <f>[10]SCF!D92</f>
        <v>0</v>
      </c>
      <c r="I95" s="18">
        <f>[11]SCF!D92</f>
        <v>0</v>
      </c>
      <c r="J95" s="18">
        <f>[12]SCF!D92</f>
        <v>0</v>
      </c>
      <c r="K95" s="18">
        <f>[7]SCF!D92</f>
        <v>0</v>
      </c>
    </row>
    <row r="96" spans="1:11" ht="15" customHeight="1" x14ac:dyDescent="0.3">
      <c r="A96" s="24" t="s">
        <v>89</v>
      </c>
      <c r="B96" s="18">
        <f>[7]SCF!C93</f>
        <v>0</v>
      </c>
      <c r="C96" s="18">
        <f t="shared" si="32"/>
        <v>0</v>
      </c>
      <c r="D96" s="18">
        <f t="shared" si="33"/>
        <v>0</v>
      </c>
      <c r="E96" s="19">
        <f t="shared" si="34"/>
        <v>0</v>
      </c>
      <c r="F96" s="18">
        <f>[8]SCF!D93</f>
        <v>0</v>
      </c>
      <c r="G96" s="18">
        <f>[9]SCF!D93</f>
        <v>0</v>
      </c>
      <c r="H96" s="18">
        <f>[10]SCF!D93</f>
        <v>0</v>
      </c>
      <c r="I96" s="18">
        <f>[11]SCF!D93</f>
        <v>0</v>
      </c>
      <c r="J96" s="18">
        <f>[12]SCF!D93</f>
        <v>0</v>
      </c>
      <c r="K96" s="18">
        <f>[7]SCF!D93</f>
        <v>0</v>
      </c>
    </row>
    <row r="97" spans="1:11" x14ac:dyDescent="0.3">
      <c r="A97" s="24" t="s">
        <v>90</v>
      </c>
      <c r="B97" s="18">
        <f>[7]SCF!C94</f>
        <v>0</v>
      </c>
      <c r="C97" s="18">
        <f t="shared" si="32"/>
        <v>-65366.319999999992</v>
      </c>
      <c r="D97" s="18">
        <f t="shared" si="33"/>
        <v>-65366.319999999992</v>
      </c>
      <c r="E97" s="19">
        <f t="shared" si="34"/>
        <v>0</v>
      </c>
      <c r="F97" s="18">
        <f>[8]SCF!D94</f>
        <v>-110578.37</v>
      </c>
      <c r="G97" s="18">
        <f>[9]SCF!D94</f>
        <v>220380.32</v>
      </c>
      <c r="H97" s="18">
        <f>[10]SCF!D94</f>
        <v>-53995.27</v>
      </c>
      <c r="I97" s="18">
        <f>[11]SCF!D94</f>
        <v>13541.15</v>
      </c>
      <c r="J97" s="18">
        <f>[12]SCF!D94</f>
        <v>-240705.23</v>
      </c>
      <c r="K97" s="18">
        <f>[7]SCF!D94</f>
        <v>105991.08</v>
      </c>
    </row>
    <row r="98" spans="1:11" ht="15" customHeight="1" x14ac:dyDescent="0.3">
      <c r="A98" s="30" t="s">
        <v>91</v>
      </c>
      <c r="B98" s="33">
        <f>SUM(B91:B97)</f>
        <v>15272552</v>
      </c>
      <c r="C98" s="31">
        <f>SUM(C91:C97)</f>
        <v>21252334.940000001</v>
      </c>
      <c r="D98" s="31">
        <f t="shared" si="33"/>
        <v>5979782.9400000013</v>
      </c>
      <c r="E98" s="32">
        <f t="shared" ref="E98" si="35">+D98/B98*100</f>
        <v>39.153790014923509</v>
      </c>
      <c r="F98" s="31">
        <f>[8]SCF!D95</f>
        <v>3837803.04</v>
      </c>
      <c r="G98" s="31">
        <f t="shared" ref="G98:K98" si="36">SUM(G91:G97)</f>
        <v>3186657.04</v>
      </c>
      <c r="H98" s="31">
        <f t="shared" si="36"/>
        <v>946004.73</v>
      </c>
      <c r="I98" s="31">
        <f t="shared" si="36"/>
        <v>3363528.15</v>
      </c>
      <c r="J98" s="31">
        <f t="shared" si="36"/>
        <v>759294.77</v>
      </c>
      <c r="K98" s="31">
        <f t="shared" si="36"/>
        <v>9159047.2100000009</v>
      </c>
    </row>
    <row r="99" spans="1:11" ht="15" customHeight="1" x14ac:dyDescent="0.3">
      <c r="A99" s="34" t="s">
        <v>92</v>
      </c>
      <c r="B99" s="35">
        <f>+B42-B88-B98</f>
        <v>47516437</v>
      </c>
      <c r="C99" s="36">
        <f>+C42-C88-C98</f>
        <v>166935203.98999983</v>
      </c>
      <c r="D99" s="37" t="s">
        <v>15</v>
      </c>
      <c r="E99" s="38" t="s">
        <v>15</v>
      </c>
      <c r="F99" s="36">
        <f t="shared" ref="F99:K99" si="37">+F42-F88-F98</f>
        <v>33843313.760000013</v>
      </c>
      <c r="G99" s="36">
        <f t="shared" si="37"/>
        <v>-2817542.4499999667</v>
      </c>
      <c r="H99" s="36">
        <f t="shared" si="37"/>
        <v>39319453.490000002</v>
      </c>
      <c r="I99" s="36">
        <f t="shared" si="37"/>
        <v>31126018.370000012</v>
      </c>
      <c r="J99" s="36">
        <f t="shared" si="37"/>
        <v>47169771.489999987</v>
      </c>
      <c r="K99" s="36">
        <f t="shared" si="37"/>
        <v>18294189.329999991</v>
      </c>
    </row>
    <row r="100" spans="1:11" ht="15" customHeight="1" x14ac:dyDescent="0.3">
      <c r="A100" s="39" t="s">
        <v>93</v>
      </c>
      <c r="B100" s="18">
        <f>[7]SCF!$C$97</f>
        <v>399363581.45999998</v>
      </c>
      <c r="C100" s="18">
        <f>F100</f>
        <v>388091432.80000001</v>
      </c>
      <c r="D100" s="40" t="s">
        <v>15</v>
      </c>
      <c r="E100" s="41" t="s">
        <v>15</v>
      </c>
      <c r="F100" s="18">
        <f>[8]SCF!$D$97</f>
        <v>388091432.80000001</v>
      </c>
      <c r="G100" s="18">
        <f>F101</f>
        <v>421934746.56</v>
      </c>
      <c r="H100" s="18">
        <f>G101</f>
        <v>419117204.11000001</v>
      </c>
      <c r="I100" s="18">
        <f>H101</f>
        <v>458436657.60000002</v>
      </c>
      <c r="J100" s="18">
        <f t="shared" ref="J100:K100" si="38">I101</f>
        <v>489562675.97000003</v>
      </c>
      <c r="K100" s="18">
        <f t="shared" si="38"/>
        <v>536732447.46000004</v>
      </c>
    </row>
    <row r="101" spans="1:11" ht="15" customHeight="1" x14ac:dyDescent="0.3">
      <c r="A101" s="34" t="s">
        <v>94</v>
      </c>
      <c r="B101" s="35">
        <f>B99+B100</f>
        <v>446880018.45999998</v>
      </c>
      <c r="C101" s="36">
        <f>C99+C100</f>
        <v>555026636.78999984</v>
      </c>
      <c r="D101" s="42" t="s">
        <v>15</v>
      </c>
      <c r="E101" s="43" t="s">
        <v>15</v>
      </c>
      <c r="F101" s="36">
        <f t="shared" ref="F101:K101" si="39">F99+F100</f>
        <v>421934746.56</v>
      </c>
      <c r="G101" s="36">
        <f t="shared" si="39"/>
        <v>419117204.11000001</v>
      </c>
      <c r="H101" s="36">
        <f t="shared" si="39"/>
        <v>458436657.60000002</v>
      </c>
      <c r="I101" s="36">
        <f t="shared" si="39"/>
        <v>489562675.97000003</v>
      </c>
      <c r="J101" s="36">
        <f t="shared" si="39"/>
        <v>536732447.46000004</v>
      </c>
      <c r="K101" s="36">
        <f t="shared" si="39"/>
        <v>555026636.79000008</v>
      </c>
    </row>
    <row r="102" spans="1:11" x14ac:dyDescent="0.3">
      <c r="F102" s="44">
        <f>[8]SCF!$D$98</f>
        <v>421934746.56</v>
      </c>
      <c r="G102" s="44">
        <f>[9]SCF!$D$98</f>
        <v>419117204.11000001</v>
      </c>
      <c r="H102" s="44">
        <f>[10]SCF!$D$98</f>
        <v>458436657.60000002</v>
      </c>
      <c r="I102" s="44">
        <f>[11]SCF!$D$98</f>
        <v>489562675.97000003</v>
      </c>
      <c r="J102" s="44">
        <f>[12]SCF!$D$98</f>
        <v>536732447.45999998</v>
      </c>
      <c r="K102" s="44">
        <f>[7]SCF!$D$98</f>
        <v>555026636.78999996</v>
      </c>
    </row>
    <row r="103" spans="1:11" x14ac:dyDescent="0.3">
      <c r="F103" s="44">
        <f t="shared" ref="F103:K103" si="40">+F101-F102</f>
        <v>0</v>
      </c>
      <c r="G103" s="44">
        <f t="shared" si="40"/>
        <v>0</v>
      </c>
      <c r="H103" s="44">
        <f t="shared" si="40"/>
        <v>0</v>
      </c>
      <c r="I103" s="44">
        <f t="shared" si="40"/>
        <v>0</v>
      </c>
      <c r="J103" s="44">
        <f t="shared" si="40"/>
        <v>0</v>
      </c>
      <c r="K103" s="44">
        <f t="shared" si="40"/>
        <v>0</v>
      </c>
    </row>
  </sheetData>
  <mergeCells count="7">
    <mergeCell ref="A89:E89"/>
    <mergeCell ref="A2:A11"/>
    <mergeCell ref="B2:D2"/>
    <mergeCell ref="E4:G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03"/>
  <sheetViews>
    <sheetView showGridLines="0" zoomScaleNormal="100" workbookViewId="0">
      <selection activeCell="F24" sqref="F24"/>
    </sheetView>
  </sheetViews>
  <sheetFormatPr defaultRowHeight="14.4" outlineLevelCol="1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1" width="23.5546875" style="1" customWidth="1" outlineLevel="1"/>
    <col min="12" max="16384" width="8.88671875" style="1"/>
  </cols>
  <sheetData>
    <row r="1" spans="1:11" ht="16.95" customHeight="1" x14ac:dyDescent="0.3">
      <c r="B1" s="2" t="s">
        <v>0</v>
      </c>
    </row>
    <row r="2" spans="1:11" ht="12.9" customHeight="1" x14ac:dyDescent="0.3">
      <c r="A2" s="3"/>
      <c r="B2" s="4" t="s">
        <v>1</v>
      </c>
      <c r="C2" s="3"/>
      <c r="D2" s="3"/>
    </row>
    <row r="3" spans="1:11" ht="0.6" customHeight="1" x14ac:dyDescent="0.3">
      <c r="A3" s="3"/>
    </row>
    <row r="4" spans="1:11" ht="0.45" customHeight="1" x14ac:dyDescent="0.3">
      <c r="A4" s="3"/>
      <c r="E4" s="3"/>
      <c r="F4" s="3"/>
      <c r="G4" s="3"/>
    </row>
    <row r="5" spans="1:11" ht="4.95" customHeight="1" x14ac:dyDescent="0.3">
      <c r="A5" s="3"/>
      <c r="E5" s="3"/>
      <c r="F5" s="3"/>
      <c r="G5" s="3"/>
    </row>
    <row r="6" spans="1:11" ht="0.6" customHeight="1" x14ac:dyDescent="0.3">
      <c r="A6" s="3"/>
      <c r="E6" s="3"/>
      <c r="F6" s="3"/>
      <c r="G6" s="3"/>
    </row>
    <row r="7" spans="1:11" ht="2.4" customHeight="1" x14ac:dyDescent="0.3">
      <c r="A7" s="3"/>
      <c r="B7" s="5" t="s">
        <v>2</v>
      </c>
      <c r="C7" s="5"/>
      <c r="D7" s="5"/>
      <c r="E7" s="3"/>
      <c r="F7" s="3"/>
      <c r="G7" s="3"/>
    </row>
    <row r="8" spans="1:11" ht="16.95" customHeight="1" x14ac:dyDescent="0.3">
      <c r="A8" s="3"/>
      <c r="B8" s="5"/>
      <c r="C8" s="5"/>
      <c r="D8" s="5"/>
    </row>
    <row r="9" spans="1:11" ht="1.95" customHeight="1" x14ac:dyDescent="0.3">
      <c r="A9" s="3"/>
      <c r="B9" s="6" t="str">
        <f>+CONCATENATE("JUNE 2023,"&amp;" "&amp;B13)</f>
        <v>JUNE 2023, NEECO II - AREA 1</v>
      </c>
      <c r="C9" s="6"/>
    </row>
    <row r="10" spans="1:11" ht="15.6" customHeight="1" x14ac:dyDescent="0.3">
      <c r="A10" s="3"/>
      <c r="B10" s="6"/>
      <c r="C10" s="6"/>
    </row>
    <row r="11" spans="1:11" ht="0.45" customHeight="1" x14ac:dyDescent="0.3">
      <c r="A11" s="3"/>
    </row>
    <row r="12" spans="1:11" ht="0" hidden="1" customHeight="1" x14ac:dyDescent="0.3"/>
    <row r="13" spans="1:11" ht="15.45" customHeight="1" x14ac:dyDescent="0.3">
      <c r="B13" s="7" t="str">
        <f>+[13]SCF!$C$2</f>
        <v>NEECO II - AREA 1</v>
      </c>
    </row>
    <row r="14" spans="1:11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9" t="s">
        <v>10</v>
      </c>
      <c r="I14" s="9" t="s">
        <v>11</v>
      </c>
      <c r="J14" s="9" t="s">
        <v>12</v>
      </c>
      <c r="K14" s="9" t="s">
        <v>13</v>
      </c>
    </row>
    <row r="15" spans="1:11" ht="15" customHeight="1" x14ac:dyDescent="0.3">
      <c r="A15" s="10" t="s">
        <v>14</v>
      </c>
      <c r="B15" s="11" t="s">
        <v>15</v>
      </c>
      <c r="C15" s="12" t="s">
        <v>15</v>
      </c>
      <c r="D15" s="11" t="s">
        <v>15</v>
      </c>
      <c r="E15" s="13" t="s">
        <v>15</v>
      </c>
      <c r="F15" s="12" t="s">
        <v>15</v>
      </c>
      <c r="G15" s="12" t="s">
        <v>15</v>
      </c>
      <c r="H15" s="12" t="s">
        <v>15</v>
      </c>
      <c r="I15" s="12" t="s">
        <v>15</v>
      </c>
      <c r="J15" s="12" t="s">
        <v>15</v>
      </c>
      <c r="K15" s="12" t="s">
        <v>15</v>
      </c>
    </row>
    <row r="16" spans="1:11" ht="15" customHeight="1" x14ac:dyDescent="0.3">
      <c r="A16" s="14" t="s">
        <v>16</v>
      </c>
      <c r="B16" s="15">
        <f>[13]SCF!C12</f>
        <v>2597497730</v>
      </c>
      <c r="C16" s="15">
        <f>+C17+C18+C19+C26+C27+C28</f>
        <v>1402768875.4399998</v>
      </c>
      <c r="D16" s="15">
        <f>+C16-B16</f>
        <v>-1194728854.5600002</v>
      </c>
      <c r="E16" s="16">
        <f t="shared" ref="E16:E42" si="0">+D16/B16*100</f>
        <v>-45.995376271608912</v>
      </c>
      <c r="F16" s="15">
        <f>[14]SCF!D12</f>
        <v>239669448.5</v>
      </c>
      <c r="G16" s="15">
        <f>[15]SCF!D12</f>
        <v>176341882.37</v>
      </c>
      <c r="H16" s="15">
        <f>[16]SCF!D12</f>
        <v>234399414.19</v>
      </c>
      <c r="I16" s="15">
        <f>[17]SCF!D12</f>
        <v>189575855.91</v>
      </c>
      <c r="J16" s="15">
        <f>[18]SCF!D12</f>
        <v>288328096.85000002</v>
      </c>
      <c r="K16" s="15">
        <f>[13]SCF!D12</f>
        <v>274454177.62</v>
      </c>
    </row>
    <row r="17" spans="1:11" ht="15" customHeight="1" x14ac:dyDescent="0.3">
      <c r="A17" s="17" t="s">
        <v>17</v>
      </c>
      <c r="B17" s="18">
        <f>[13]SCF!C13</f>
        <v>2317794083</v>
      </c>
      <c r="C17" s="18">
        <f>SUM(F17:K17)</f>
        <v>1264347091.0999999</v>
      </c>
      <c r="D17" s="18">
        <f t="shared" ref="D17:D42" si="1">+C17-B17</f>
        <v>-1053446991.9000001</v>
      </c>
      <c r="E17" s="19">
        <f t="shared" ref="E17:E18" si="2">IFERROR(+D17/B17*100,0)</f>
        <v>-45.450413374793314</v>
      </c>
      <c r="F17" s="18">
        <f>[14]SCF!D13</f>
        <v>217843224.53999999</v>
      </c>
      <c r="G17" s="18">
        <f>[15]SCF!D13</f>
        <v>157318218.16</v>
      </c>
      <c r="H17" s="18">
        <f>[16]SCF!D13</f>
        <v>212223070.61000001</v>
      </c>
      <c r="I17" s="18">
        <f>[17]SCF!D13</f>
        <v>167129097.27000001</v>
      </c>
      <c r="J17" s="18">
        <f>[18]SCF!D13</f>
        <v>262164312.68000001</v>
      </c>
      <c r="K17" s="18">
        <f>[13]SCF!D13</f>
        <v>247669167.84</v>
      </c>
    </row>
    <row r="18" spans="1:11" ht="15" customHeight="1" x14ac:dyDescent="0.3">
      <c r="A18" s="17" t="s">
        <v>18</v>
      </c>
      <c r="B18" s="18">
        <f>[13]SCF!C14</f>
        <v>132090070</v>
      </c>
      <c r="C18" s="18">
        <f>SUM(F18:K18)</f>
        <v>65465435.609999999</v>
      </c>
      <c r="D18" s="18">
        <f t="shared" si="1"/>
        <v>-66624634.390000001</v>
      </c>
      <c r="E18" s="19">
        <f t="shared" si="2"/>
        <v>-50.438791038569363</v>
      </c>
      <c r="F18" s="18">
        <f>[14]SCF!D14</f>
        <v>10764667.76</v>
      </c>
      <c r="G18" s="18">
        <f>[15]SCF!D14</f>
        <v>8829752.1199999992</v>
      </c>
      <c r="H18" s="18">
        <f>[16]SCF!D14</f>
        <v>11708025.07</v>
      </c>
      <c r="I18" s="18">
        <f>[17]SCF!D14</f>
        <v>9220987.0899999999</v>
      </c>
      <c r="J18" s="18">
        <f>[18]SCF!D14</f>
        <v>13074071.18</v>
      </c>
      <c r="K18" s="18">
        <f>[13]SCF!D14</f>
        <v>11867932.390000001</v>
      </c>
    </row>
    <row r="19" spans="1:11" ht="15" customHeight="1" x14ac:dyDescent="0.3">
      <c r="A19" s="20" t="s">
        <v>19</v>
      </c>
      <c r="B19" s="15">
        <f>[13]SCF!C15</f>
        <v>97195268</v>
      </c>
      <c r="C19" s="21">
        <f>+C20+C21+C22+C23+C24+C25</f>
        <v>39583320.68</v>
      </c>
      <c r="D19" s="21">
        <f t="shared" si="1"/>
        <v>-57611947.32</v>
      </c>
      <c r="E19" s="22">
        <f t="shared" si="0"/>
        <v>-59.274436405690032</v>
      </c>
      <c r="F19" s="21">
        <f>[14]SCF!D15</f>
        <v>5406023.2400000002</v>
      </c>
      <c r="G19" s="21">
        <f>[15]SCF!D15</f>
        <v>6414875.0899999999</v>
      </c>
      <c r="H19" s="21">
        <f>[16]SCF!D15</f>
        <v>4509829.16</v>
      </c>
      <c r="I19" s="21">
        <f>[17]SCF!D15</f>
        <v>8451302.4800000004</v>
      </c>
      <c r="J19" s="21">
        <f>[18]SCF!D15</f>
        <v>6136472.2599999998</v>
      </c>
      <c r="K19" s="21">
        <f>[13]SCF!D15</f>
        <v>8664818.4499999993</v>
      </c>
    </row>
    <row r="20" spans="1:11" ht="15" customHeight="1" x14ac:dyDescent="0.3">
      <c r="A20" s="23" t="s">
        <v>20</v>
      </c>
      <c r="B20" s="18">
        <f>[13]SCF!C16</f>
        <v>51050441.259999998</v>
      </c>
      <c r="C20" s="18">
        <f t="shared" ref="C20:C26" si="3">SUM(F20:K20)</f>
        <v>32158363.219999999</v>
      </c>
      <c r="D20" s="18">
        <f t="shared" si="1"/>
        <v>-18892078.039999999</v>
      </c>
      <c r="E20" s="19">
        <f t="shared" ref="E20:E28" si="4">IFERROR(+D20/B20*100,0)</f>
        <v>-37.006689019165592</v>
      </c>
      <c r="F20" s="18">
        <f>[14]SCF!D16</f>
        <v>4326274.41</v>
      </c>
      <c r="G20" s="18">
        <f>[15]SCF!D16</f>
        <v>5133627.5999999996</v>
      </c>
      <c r="H20" s="18">
        <f>[16]SCF!D16</f>
        <v>3609077.82</v>
      </c>
      <c r="I20" s="18">
        <f>[17]SCF!D16</f>
        <v>6763317.9199999999</v>
      </c>
      <c r="J20" s="18">
        <f>[18]SCF!D16</f>
        <v>5110267.7699999996</v>
      </c>
      <c r="K20" s="18">
        <f>[13]SCF!D16</f>
        <v>7215797.7000000002</v>
      </c>
    </row>
    <row r="21" spans="1:11" ht="15" customHeight="1" x14ac:dyDescent="0.3">
      <c r="A21" s="23" t="s">
        <v>21</v>
      </c>
      <c r="B21" s="18">
        <f>[13]SCF!C17</f>
        <v>32147715.18</v>
      </c>
      <c r="C21" s="18">
        <f t="shared" si="3"/>
        <v>283650.06</v>
      </c>
      <c r="D21" s="18">
        <f t="shared" si="1"/>
        <v>-31864065.120000001</v>
      </c>
      <c r="E21" s="19">
        <f t="shared" si="4"/>
        <v>-99.117666501610458</v>
      </c>
      <c r="F21" s="18">
        <f>[14]SCF!D17</f>
        <v>41248.83</v>
      </c>
      <c r="G21" s="18">
        <f>[15]SCF!D17</f>
        <v>48946.53</v>
      </c>
      <c r="H21" s="18">
        <f>[16]SCF!D17</f>
        <v>34410.730000000003</v>
      </c>
      <c r="I21" s="18">
        <f>[17]SCF!D17</f>
        <v>64484.800000000003</v>
      </c>
      <c r="J21" s="18">
        <f>[18]SCF!D17</f>
        <v>39203.32</v>
      </c>
      <c r="K21" s="18">
        <f>[13]SCF!D17</f>
        <v>55355.85</v>
      </c>
    </row>
    <row r="22" spans="1:11" ht="15" customHeight="1" x14ac:dyDescent="0.3">
      <c r="A22" s="23" t="s">
        <v>22</v>
      </c>
      <c r="B22" s="18">
        <f>[13]SCF!C18</f>
        <v>0</v>
      </c>
      <c r="C22" s="18">
        <f t="shared" si="3"/>
        <v>0</v>
      </c>
      <c r="D22" s="18">
        <f t="shared" si="1"/>
        <v>0</v>
      </c>
      <c r="E22" s="19">
        <f t="shared" si="4"/>
        <v>0</v>
      </c>
      <c r="F22" s="18">
        <f>[14]SCF!D18</f>
        <v>0</v>
      </c>
      <c r="G22" s="18">
        <f>[15]SCF!D18</f>
        <v>0</v>
      </c>
      <c r="H22" s="18">
        <f>[16]SCF!D18</f>
        <v>0</v>
      </c>
      <c r="I22" s="18">
        <f>[17]SCF!D18</f>
        <v>0</v>
      </c>
      <c r="J22" s="18">
        <f>[18]SCF!D18</f>
        <v>0</v>
      </c>
      <c r="K22" s="18">
        <f>[13]SCF!D18</f>
        <v>0</v>
      </c>
    </row>
    <row r="23" spans="1:11" ht="15" customHeight="1" x14ac:dyDescent="0.3">
      <c r="A23" s="23" t="s">
        <v>23</v>
      </c>
      <c r="B23" s="18">
        <f>[13]SCF!C19</f>
        <v>0</v>
      </c>
      <c r="C23" s="18">
        <f t="shared" si="3"/>
        <v>0</v>
      </c>
      <c r="D23" s="18">
        <f t="shared" si="1"/>
        <v>0</v>
      </c>
      <c r="E23" s="19">
        <f t="shared" si="4"/>
        <v>0</v>
      </c>
      <c r="F23" s="18">
        <f>[14]SCF!D19</f>
        <v>0</v>
      </c>
      <c r="G23" s="18">
        <f>[15]SCF!D19</f>
        <v>0</v>
      </c>
      <c r="H23" s="18">
        <f>[16]SCF!D19</f>
        <v>0</v>
      </c>
      <c r="I23" s="18">
        <f>[17]SCF!D19</f>
        <v>0</v>
      </c>
      <c r="J23" s="18">
        <f>[18]SCF!D19</f>
        <v>0</v>
      </c>
      <c r="K23" s="18">
        <f>[13]SCF!D19</f>
        <v>0</v>
      </c>
    </row>
    <row r="24" spans="1:11" ht="15" customHeight="1" x14ac:dyDescent="0.3">
      <c r="A24" s="23" t="s">
        <v>24</v>
      </c>
      <c r="B24" s="18">
        <f>[13]SCF!C20</f>
        <v>13997111.560000001</v>
      </c>
      <c r="C24" s="18">
        <f t="shared" si="3"/>
        <v>7141307.4000000004</v>
      </c>
      <c r="D24" s="18">
        <f t="shared" si="1"/>
        <v>-6855804.1600000001</v>
      </c>
      <c r="E24" s="19">
        <f t="shared" si="4"/>
        <v>-48.980135155827817</v>
      </c>
      <c r="F24" s="18">
        <f>[14]SCF!D20</f>
        <v>1038500</v>
      </c>
      <c r="G24" s="18">
        <f>[15]SCF!D20</f>
        <v>1232300.96</v>
      </c>
      <c r="H24" s="18">
        <f>[16]SCF!D20</f>
        <v>866340.61</v>
      </c>
      <c r="I24" s="18">
        <f>[17]SCF!D20</f>
        <v>1623499.76</v>
      </c>
      <c r="J24" s="18">
        <f>[18]SCF!D20</f>
        <v>987001.17</v>
      </c>
      <c r="K24" s="18">
        <f>[13]SCF!D20</f>
        <v>1393664.9</v>
      </c>
    </row>
    <row r="25" spans="1:11" ht="15" customHeight="1" x14ac:dyDescent="0.3">
      <c r="A25" s="23" t="s">
        <v>25</v>
      </c>
      <c r="B25" s="18">
        <f>[13]SCF!C21</f>
        <v>0</v>
      </c>
      <c r="C25" s="18">
        <f t="shared" si="3"/>
        <v>0</v>
      </c>
      <c r="D25" s="18">
        <f t="shared" si="1"/>
        <v>0</v>
      </c>
      <c r="E25" s="19">
        <f t="shared" si="4"/>
        <v>0</v>
      </c>
      <c r="F25" s="18">
        <f>[14]SCF!D21</f>
        <v>0</v>
      </c>
      <c r="G25" s="18">
        <f>[15]SCF!D21</f>
        <v>0</v>
      </c>
      <c r="H25" s="18">
        <f>[16]SCF!D21</f>
        <v>0</v>
      </c>
      <c r="I25" s="18">
        <f>[17]SCF!D21</f>
        <v>0</v>
      </c>
      <c r="J25" s="18">
        <f>[18]SCF!D21</f>
        <v>0</v>
      </c>
      <c r="K25" s="18">
        <f>[13]SCF!D21</f>
        <v>0</v>
      </c>
    </row>
    <row r="26" spans="1:11" ht="15" customHeight="1" x14ac:dyDescent="0.3">
      <c r="A26" s="17" t="s">
        <v>26</v>
      </c>
      <c r="B26" s="18">
        <f>[13]SCF!C22</f>
        <v>0</v>
      </c>
      <c r="C26" s="18">
        <f t="shared" si="3"/>
        <v>0</v>
      </c>
      <c r="D26" s="18">
        <f t="shared" si="1"/>
        <v>0</v>
      </c>
      <c r="E26" s="19">
        <f t="shared" si="4"/>
        <v>0</v>
      </c>
      <c r="F26" s="18">
        <f>[14]SCF!D22</f>
        <v>0</v>
      </c>
      <c r="G26" s="18">
        <f>[15]SCF!D22</f>
        <v>0</v>
      </c>
      <c r="H26" s="18">
        <f>[16]SCF!D22</f>
        <v>0</v>
      </c>
      <c r="I26" s="18">
        <f>[17]SCF!D22</f>
        <v>0</v>
      </c>
      <c r="J26" s="18">
        <f>[18]SCF!D22</f>
        <v>0</v>
      </c>
      <c r="K26" s="18">
        <f>[13]SCF!D22</f>
        <v>0</v>
      </c>
    </row>
    <row r="27" spans="1:11" ht="15" customHeight="1" x14ac:dyDescent="0.3">
      <c r="A27" s="17" t="s">
        <v>27</v>
      </c>
      <c r="B27" s="18">
        <f>[13]SCF!C23</f>
        <v>50418309</v>
      </c>
      <c r="C27" s="18">
        <f>SUM(F27:K27)</f>
        <v>33373028.050000004</v>
      </c>
      <c r="D27" s="18">
        <f t="shared" si="1"/>
        <v>-17045280.949999996</v>
      </c>
      <c r="E27" s="19">
        <f t="shared" si="4"/>
        <v>-33.807720425530327</v>
      </c>
      <c r="F27" s="18">
        <f>[14]SCF!D23</f>
        <v>5655532.96</v>
      </c>
      <c r="G27" s="18">
        <f>[15]SCF!D23</f>
        <v>3779037</v>
      </c>
      <c r="H27" s="18">
        <f>[16]SCF!D23</f>
        <v>5958489.3499999996</v>
      </c>
      <c r="I27" s="18">
        <f>[17]SCF!D23</f>
        <v>4774469.07</v>
      </c>
      <c r="J27" s="18">
        <f>[18]SCF!D23</f>
        <v>6953240.7300000004</v>
      </c>
      <c r="K27" s="18">
        <f>[13]SCF!D23</f>
        <v>6252258.9400000004</v>
      </c>
    </row>
    <row r="28" spans="1:11" ht="15" customHeight="1" x14ac:dyDescent="0.3">
      <c r="A28" s="17" t="s">
        <v>28</v>
      </c>
      <c r="B28" s="18">
        <f>[13]SCF!C24</f>
        <v>0</v>
      </c>
      <c r="C28" s="18">
        <f>SUM(F28:K28)</f>
        <v>0</v>
      </c>
      <c r="D28" s="18">
        <f t="shared" si="1"/>
        <v>0</v>
      </c>
      <c r="E28" s="19">
        <f t="shared" si="4"/>
        <v>0</v>
      </c>
      <c r="F28" s="18">
        <f>[14]SCF!D24</f>
        <v>0</v>
      </c>
      <c r="G28" s="18">
        <f>[15]SCF!D24</f>
        <v>0</v>
      </c>
      <c r="H28" s="18">
        <f>[16]SCF!D24</f>
        <v>0</v>
      </c>
      <c r="I28" s="18">
        <f>[17]SCF!D24</f>
        <v>0</v>
      </c>
      <c r="J28" s="18">
        <f>[18]SCF!D24</f>
        <v>0</v>
      </c>
      <c r="K28" s="18">
        <f>[13]SCF!D24</f>
        <v>0</v>
      </c>
    </row>
    <row r="29" spans="1:11" ht="15" customHeight="1" x14ac:dyDescent="0.3">
      <c r="A29" s="14" t="s">
        <v>29</v>
      </c>
      <c r="B29" s="15">
        <f>[13]SCF!C25</f>
        <v>58579347</v>
      </c>
      <c r="C29" s="15">
        <f>+C30+C31+C32</f>
        <v>39104469.109999999</v>
      </c>
      <c r="D29" s="15">
        <f t="shared" si="1"/>
        <v>-19474877.890000001</v>
      </c>
      <c r="E29" s="16">
        <f t="shared" si="0"/>
        <v>-33.245296998616254</v>
      </c>
      <c r="F29" s="15">
        <f>[14]SCF!D25</f>
        <v>7164356.0899999999</v>
      </c>
      <c r="G29" s="15">
        <f>[15]SCF!D25</f>
        <v>6567992.9000000004</v>
      </c>
      <c r="H29" s="15">
        <f>[16]SCF!D25</f>
        <v>7689786.8700000001</v>
      </c>
      <c r="I29" s="15">
        <f>[17]SCF!D25</f>
        <v>4307001.93</v>
      </c>
      <c r="J29" s="15">
        <f>[18]SCF!D25</f>
        <v>6952427.2400000002</v>
      </c>
      <c r="K29" s="15">
        <f>[13]SCF!D25</f>
        <v>6422904.0800000001</v>
      </c>
    </row>
    <row r="30" spans="1:11" ht="15" customHeight="1" x14ac:dyDescent="0.3">
      <c r="A30" s="17" t="s">
        <v>30</v>
      </c>
      <c r="B30" s="18">
        <f>[13]SCF!C26</f>
        <v>40066470</v>
      </c>
      <c r="C30" s="18">
        <f t="shared" ref="C30:C32" si="5">SUM(F30:K30)</f>
        <v>35038023.439999998</v>
      </c>
      <c r="D30" s="18">
        <f t="shared" si="1"/>
        <v>-5028446.5600000024</v>
      </c>
      <c r="E30" s="19">
        <f t="shared" ref="E30:E32" si="6">IFERROR(+D30/B30*100,0)</f>
        <v>-12.55026100377698</v>
      </c>
      <c r="F30" s="18">
        <f>[14]SCF!D26</f>
        <v>6988633.6900000004</v>
      </c>
      <c r="G30" s="18">
        <f>[15]SCF!D26</f>
        <v>6386516.79</v>
      </c>
      <c r="H30" s="18">
        <f>[16]SCF!D26</f>
        <v>7357904.9199999999</v>
      </c>
      <c r="I30" s="18">
        <f>[17]SCF!D26</f>
        <v>4091733.32</v>
      </c>
      <c r="J30" s="18">
        <f>[18]SCF!D26</f>
        <v>5560339.0800000001</v>
      </c>
      <c r="K30" s="18">
        <f>[13]SCF!D26</f>
        <v>4652895.6399999997</v>
      </c>
    </row>
    <row r="31" spans="1:11" ht="15" customHeight="1" x14ac:dyDescent="0.3">
      <c r="A31" s="17" t="s">
        <v>31</v>
      </c>
      <c r="B31" s="18">
        <f>[13]SCF!C27</f>
        <v>0</v>
      </c>
      <c r="C31" s="18">
        <f t="shared" si="5"/>
        <v>0</v>
      </c>
      <c r="D31" s="18">
        <f t="shared" si="1"/>
        <v>0</v>
      </c>
      <c r="E31" s="19">
        <f t="shared" si="6"/>
        <v>0</v>
      </c>
      <c r="F31" s="18">
        <f>[14]SCF!D27</f>
        <v>0</v>
      </c>
      <c r="G31" s="18">
        <f>[15]SCF!D27</f>
        <v>0</v>
      </c>
      <c r="H31" s="18">
        <f>[16]SCF!D27</f>
        <v>0</v>
      </c>
      <c r="I31" s="18">
        <f>[17]SCF!D27</f>
        <v>0</v>
      </c>
      <c r="J31" s="18">
        <f>[18]SCF!D27</f>
        <v>0</v>
      </c>
      <c r="K31" s="18">
        <f>[13]SCF!D27</f>
        <v>0</v>
      </c>
    </row>
    <row r="32" spans="1:11" x14ac:dyDescent="0.3">
      <c r="A32" s="17" t="s">
        <v>32</v>
      </c>
      <c r="B32" s="18">
        <f>[13]SCF!C28</f>
        <v>18512877</v>
      </c>
      <c r="C32" s="18">
        <f t="shared" si="5"/>
        <v>4066445.67</v>
      </c>
      <c r="D32" s="18">
        <f t="shared" si="1"/>
        <v>-14446431.33</v>
      </c>
      <c r="E32" s="19">
        <f t="shared" si="6"/>
        <v>-78.034501768687818</v>
      </c>
      <c r="F32" s="18">
        <f>[14]SCF!D28</f>
        <v>175722.4</v>
      </c>
      <c r="G32" s="18">
        <f>[15]SCF!D28</f>
        <v>181476.11</v>
      </c>
      <c r="H32" s="18">
        <f>[16]SCF!D28</f>
        <v>331881.95</v>
      </c>
      <c r="I32" s="18">
        <f>[17]SCF!D28</f>
        <v>215268.61</v>
      </c>
      <c r="J32" s="18">
        <f>[18]SCF!D28</f>
        <v>1392088.16</v>
      </c>
      <c r="K32" s="18">
        <f>[13]SCF!D28</f>
        <v>1770008.44</v>
      </c>
    </row>
    <row r="33" spans="1:11" x14ac:dyDescent="0.3">
      <c r="A33" s="14" t="s">
        <v>33</v>
      </c>
      <c r="B33" s="15">
        <f>[13]SCF!C29</f>
        <v>85124798</v>
      </c>
      <c r="C33" s="15">
        <f>+C34+C35+C36+C37</f>
        <v>0</v>
      </c>
      <c r="D33" s="15">
        <f t="shared" si="1"/>
        <v>-85124798</v>
      </c>
      <c r="E33" s="16">
        <f t="shared" si="0"/>
        <v>-100</v>
      </c>
      <c r="F33" s="15">
        <f>[14]SCF!D29</f>
        <v>0</v>
      </c>
      <c r="G33" s="15">
        <f>[15]SCF!D29</f>
        <v>0</v>
      </c>
      <c r="H33" s="15">
        <f>[16]SCF!D29</f>
        <v>0</v>
      </c>
      <c r="I33" s="15">
        <f>[17]SCF!D29</f>
        <v>0</v>
      </c>
      <c r="J33" s="15">
        <f>[18]SCF!D29</f>
        <v>0</v>
      </c>
      <c r="K33" s="15">
        <f>[13]SCF!D29</f>
        <v>0</v>
      </c>
    </row>
    <row r="34" spans="1:11" ht="15" customHeight="1" x14ac:dyDescent="0.3">
      <c r="A34" s="17" t="s">
        <v>34</v>
      </c>
      <c r="B34" s="18">
        <f>[13]SCF!C30</f>
        <v>0</v>
      </c>
      <c r="C34" s="18">
        <f t="shared" ref="C34:C41" si="7">SUM(F34:K34)</f>
        <v>0</v>
      </c>
      <c r="D34" s="18">
        <f t="shared" si="1"/>
        <v>0</v>
      </c>
      <c r="E34" s="19">
        <f t="shared" ref="E34:E41" si="8">IFERROR(+D34/B34*100,0)</f>
        <v>0</v>
      </c>
      <c r="F34" s="18">
        <f>[14]SCF!D30</f>
        <v>0</v>
      </c>
      <c r="G34" s="18">
        <f>[15]SCF!D30</f>
        <v>0</v>
      </c>
      <c r="H34" s="18">
        <f>[16]SCF!D30</f>
        <v>0</v>
      </c>
      <c r="I34" s="18">
        <f>[17]SCF!D30</f>
        <v>0</v>
      </c>
      <c r="J34" s="18">
        <f>[18]SCF!D30</f>
        <v>0</v>
      </c>
      <c r="K34" s="18">
        <f>[13]SCF!D30</f>
        <v>0</v>
      </c>
    </row>
    <row r="35" spans="1:11" ht="15" customHeight="1" x14ac:dyDescent="0.3">
      <c r="A35" s="17" t="s">
        <v>35</v>
      </c>
      <c r="B35" s="18">
        <f>[13]SCF!C31</f>
        <v>85124798</v>
      </c>
      <c r="C35" s="18">
        <f t="shared" si="7"/>
        <v>0</v>
      </c>
      <c r="D35" s="18">
        <f t="shared" si="1"/>
        <v>-85124798</v>
      </c>
      <c r="E35" s="19">
        <f t="shared" si="8"/>
        <v>-100</v>
      </c>
      <c r="F35" s="18">
        <f>[14]SCF!D31</f>
        <v>0</v>
      </c>
      <c r="G35" s="18">
        <f>[15]SCF!D31</f>
        <v>0</v>
      </c>
      <c r="H35" s="18">
        <f>[16]SCF!D31</f>
        <v>0</v>
      </c>
      <c r="I35" s="18">
        <f>[17]SCF!D31</f>
        <v>0</v>
      </c>
      <c r="J35" s="18">
        <f>[18]SCF!D31</f>
        <v>0</v>
      </c>
      <c r="K35" s="18">
        <f>[13]SCF!D31</f>
        <v>0</v>
      </c>
    </row>
    <row r="36" spans="1:11" ht="20.399999999999999" customHeight="1" x14ac:dyDescent="0.3">
      <c r="A36" s="17" t="s">
        <v>36</v>
      </c>
      <c r="B36" s="18">
        <f>[13]SCF!C32</f>
        <v>0</v>
      </c>
      <c r="C36" s="18">
        <f t="shared" si="7"/>
        <v>0</v>
      </c>
      <c r="D36" s="18">
        <f t="shared" si="1"/>
        <v>0</v>
      </c>
      <c r="E36" s="19">
        <f t="shared" si="8"/>
        <v>0</v>
      </c>
      <c r="F36" s="18">
        <f>[14]SCF!D32</f>
        <v>0</v>
      </c>
      <c r="G36" s="18">
        <f>[15]SCF!D32</f>
        <v>0</v>
      </c>
      <c r="H36" s="18">
        <f>[16]SCF!D32</f>
        <v>0</v>
      </c>
      <c r="I36" s="18">
        <f>[17]SCF!D32</f>
        <v>0</v>
      </c>
      <c r="J36" s="18">
        <f>[18]SCF!D32</f>
        <v>0</v>
      </c>
      <c r="K36" s="18">
        <f>[13]SCF!D32</f>
        <v>0</v>
      </c>
    </row>
    <row r="37" spans="1:11" ht="15" customHeight="1" x14ac:dyDescent="0.3">
      <c r="A37" s="17" t="s">
        <v>37</v>
      </c>
      <c r="B37" s="18">
        <f>[13]SCF!C33</f>
        <v>0</v>
      </c>
      <c r="C37" s="18">
        <f t="shared" si="7"/>
        <v>0</v>
      </c>
      <c r="D37" s="18">
        <f t="shared" si="1"/>
        <v>0</v>
      </c>
      <c r="E37" s="19">
        <f t="shared" si="8"/>
        <v>0</v>
      </c>
      <c r="F37" s="18">
        <f>[14]SCF!D33</f>
        <v>0</v>
      </c>
      <c r="G37" s="18">
        <f>[15]SCF!D33</f>
        <v>0</v>
      </c>
      <c r="H37" s="18">
        <f>[16]SCF!D33</f>
        <v>0</v>
      </c>
      <c r="I37" s="18">
        <f>[17]SCF!D33</f>
        <v>0</v>
      </c>
      <c r="J37" s="18">
        <f>[18]SCF!D33</f>
        <v>0</v>
      </c>
      <c r="K37" s="18">
        <f>[13]SCF!D33</f>
        <v>0</v>
      </c>
    </row>
    <row r="38" spans="1:11" x14ac:dyDescent="0.3">
      <c r="A38" s="24" t="s">
        <v>38</v>
      </c>
      <c r="B38" s="18">
        <f>[13]SCF!C34</f>
        <v>15174019</v>
      </c>
      <c r="C38" s="18">
        <f t="shared" si="7"/>
        <v>31871264.259999998</v>
      </c>
      <c r="D38" s="18">
        <f t="shared" si="1"/>
        <v>16697245.259999998</v>
      </c>
      <c r="E38" s="19">
        <f t="shared" si="8"/>
        <v>110.03838376635746</v>
      </c>
      <c r="F38" s="18">
        <f>[14]SCF!D34</f>
        <v>0</v>
      </c>
      <c r="G38" s="18">
        <f>[15]SCF!D34</f>
        <v>31657427.129999999</v>
      </c>
      <c r="H38" s="18">
        <f>[16]SCF!D34</f>
        <v>0</v>
      </c>
      <c r="I38" s="18">
        <f>[17]SCF!D34</f>
        <v>0</v>
      </c>
      <c r="J38" s="18">
        <f>[18]SCF!D34</f>
        <v>213837.13</v>
      </c>
      <c r="K38" s="18">
        <f>[13]SCF!D34</f>
        <v>0</v>
      </c>
    </row>
    <row r="39" spans="1:11" ht="15" customHeight="1" x14ac:dyDescent="0.3">
      <c r="A39" s="24" t="s">
        <v>39</v>
      </c>
      <c r="B39" s="18">
        <f>[13]SCF!C35</f>
        <v>0</v>
      </c>
      <c r="C39" s="18">
        <f t="shared" si="7"/>
        <v>0</v>
      </c>
      <c r="D39" s="18">
        <f t="shared" si="1"/>
        <v>0</v>
      </c>
      <c r="E39" s="19">
        <f t="shared" si="8"/>
        <v>0</v>
      </c>
      <c r="F39" s="18">
        <f>[14]SCF!D35</f>
        <v>0</v>
      </c>
      <c r="G39" s="18">
        <f>[15]SCF!D35</f>
        <v>0</v>
      </c>
      <c r="H39" s="18">
        <f>[16]SCF!D35</f>
        <v>0</v>
      </c>
      <c r="I39" s="18">
        <f>[17]SCF!D35</f>
        <v>0</v>
      </c>
      <c r="J39" s="18">
        <f>[18]SCF!D35</f>
        <v>0</v>
      </c>
      <c r="K39" s="18">
        <f>[13]SCF!D35</f>
        <v>0</v>
      </c>
    </row>
    <row r="40" spans="1:11" ht="15" customHeight="1" x14ac:dyDescent="0.3">
      <c r="A40" s="24" t="s">
        <v>40</v>
      </c>
      <c r="B40" s="18">
        <f>[13]SCF!C36</f>
        <v>0</v>
      </c>
      <c r="C40" s="18">
        <f t="shared" si="7"/>
        <v>103529399.42999999</v>
      </c>
      <c r="D40" s="18">
        <f t="shared" si="1"/>
        <v>103529399.42999999</v>
      </c>
      <c r="E40" s="19">
        <f t="shared" si="8"/>
        <v>0</v>
      </c>
      <c r="F40" s="18">
        <f>[14]SCF!D36</f>
        <v>2413779.75</v>
      </c>
      <c r="G40" s="18">
        <f>[15]SCF!D36</f>
        <v>4345446.09</v>
      </c>
      <c r="H40" s="18">
        <f>[16]SCF!D36</f>
        <v>29568601.309999999</v>
      </c>
      <c r="I40" s="18">
        <f>[17]SCF!D36</f>
        <v>7470558.3099999996</v>
      </c>
      <c r="J40" s="18">
        <f>[18]SCF!D36</f>
        <v>30347960.890000001</v>
      </c>
      <c r="K40" s="18">
        <f>[13]SCF!D36</f>
        <v>29383053.079999998</v>
      </c>
    </row>
    <row r="41" spans="1:11" ht="15" customHeight="1" x14ac:dyDescent="0.3">
      <c r="A41" s="24" t="s">
        <v>41</v>
      </c>
      <c r="B41" s="18">
        <f>[13]SCF!C37</f>
        <v>28405672</v>
      </c>
      <c r="C41" s="18">
        <f t="shared" si="7"/>
        <v>20907720.490000002</v>
      </c>
      <c r="D41" s="18">
        <f t="shared" si="1"/>
        <v>-7497951.5099999979</v>
      </c>
      <c r="E41" s="19">
        <f t="shared" si="8"/>
        <v>-26.395965953560253</v>
      </c>
      <c r="F41" s="18">
        <f>[14]SCF!D37</f>
        <v>5178551.28</v>
      </c>
      <c r="G41" s="18">
        <f>[15]SCF!D37</f>
        <v>5893477.8399999999</v>
      </c>
      <c r="H41" s="18">
        <f>[16]SCF!D37</f>
        <v>2582762.87</v>
      </c>
      <c r="I41" s="18">
        <f>[17]SCF!D37</f>
        <v>1500205.99</v>
      </c>
      <c r="J41" s="18">
        <f>[18]SCF!D37</f>
        <v>5485800.6900000004</v>
      </c>
      <c r="K41" s="18">
        <f>[13]SCF!D37</f>
        <v>266921.82</v>
      </c>
    </row>
    <row r="42" spans="1:11" ht="15" customHeight="1" x14ac:dyDescent="0.3">
      <c r="A42" s="25" t="s">
        <v>42</v>
      </c>
      <c r="B42" s="26">
        <f>[13]SCF!C38</f>
        <v>2784781566</v>
      </c>
      <c r="C42" s="27">
        <f>+C16+C29+C33+C38+C39+C40+C41</f>
        <v>1598181728.7299998</v>
      </c>
      <c r="D42" s="27">
        <f t="shared" si="1"/>
        <v>-1186599837.2700002</v>
      </c>
      <c r="E42" s="28">
        <f t="shared" si="0"/>
        <v>-42.610158432440592</v>
      </c>
      <c r="F42" s="27">
        <f>[14]SCF!D38</f>
        <v>254426135.62</v>
      </c>
      <c r="G42" s="27">
        <f>[15]SCF!D38</f>
        <v>224806226.33000001</v>
      </c>
      <c r="H42" s="27">
        <f>[16]SCF!D38</f>
        <v>274240565.24000001</v>
      </c>
      <c r="I42" s="27">
        <f t="shared" ref="I42" si="9">I16+I29+I33+I38+I39+I40+I41</f>
        <v>202853622.14000002</v>
      </c>
      <c r="J42" s="27">
        <f>[18]SCF!D38</f>
        <v>331328122.80000001</v>
      </c>
      <c r="K42" s="27">
        <f>[13]SCF!D38</f>
        <v>310527056.60000002</v>
      </c>
    </row>
    <row r="43" spans="1:11" ht="18" customHeight="1" x14ac:dyDescent="0.3">
      <c r="A43" s="29" t="s">
        <v>15</v>
      </c>
      <c r="B43" s="3"/>
      <c r="C43" s="3"/>
      <c r="D43" s="3"/>
      <c r="E43" s="3"/>
    </row>
    <row r="44" spans="1:11" ht="15" customHeight="1" x14ac:dyDescent="0.3">
      <c r="A44" s="10" t="s">
        <v>43</v>
      </c>
      <c r="B44" s="11" t="s">
        <v>15</v>
      </c>
      <c r="C44" s="12" t="s">
        <v>15</v>
      </c>
      <c r="D44" s="11" t="s">
        <v>15</v>
      </c>
      <c r="E44" s="13" t="s">
        <v>15</v>
      </c>
      <c r="F44" s="12" t="s">
        <v>15</v>
      </c>
      <c r="G44" s="12" t="s">
        <v>15</v>
      </c>
      <c r="H44" s="12" t="s">
        <v>15</v>
      </c>
      <c r="I44" s="12" t="s">
        <v>15</v>
      </c>
      <c r="J44" s="12" t="s">
        <v>15</v>
      </c>
      <c r="K44" s="12" t="s">
        <v>15</v>
      </c>
    </row>
    <row r="45" spans="1:11" ht="15" customHeight="1" x14ac:dyDescent="0.3">
      <c r="A45" s="24" t="s">
        <v>44</v>
      </c>
      <c r="B45" s="18">
        <f>[13]SCF!C41</f>
        <v>1808856514</v>
      </c>
      <c r="C45" s="18">
        <f>SUM(F45:K45)</f>
        <v>991757342.16000009</v>
      </c>
      <c r="D45" s="18">
        <f>C45-B45</f>
        <v>-817099171.83999991</v>
      </c>
      <c r="E45" s="19">
        <f>IFERROR(+D45/B45*100,0)</f>
        <v>-45.172138614417477</v>
      </c>
      <c r="F45" s="18">
        <f>[14]SCF!D41</f>
        <v>168031596.37</v>
      </c>
      <c r="G45" s="18">
        <f>[15]SCF!D41</f>
        <v>137694729.33000001</v>
      </c>
      <c r="H45" s="18">
        <f>[16]SCF!D41</f>
        <v>137407927.55000001</v>
      </c>
      <c r="I45" s="18">
        <f>[17]SCF!D41</f>
        <v>131114203.72</v>
      </c>
      <c r="J45" s="18">
        <f>[18]SCF!D41</f>
        <v>197636744.88</v>
      </c>
      <c r="K45" s="18">
        <f>[13]SCF!D41</f>
        <v>219872140.31</v>
      </c>
    </row>
    <row r="46" spans="1:11" ht="15" customHeight="1" x14ac:dyDescent="0.3">
      <c r="A46" s="14" t="s">
        <v>45</v>
      </c>
      <c r="B46" s="15">
        <f>[13]SCF!C42</f>
        <v>376190297.39999998</v>
      </c>
      <c r="C46" s="15">
        <f>SUM(C47:C61)</f>
        <v>172290374.57000005</v>
      </c>
      <c r="D46" s="15">
        <f t="shared" ref="D46:D61" si="10">+B46-C46</f>
        <v>203899922.82999992</v>
      </c>
      <c r="E46" s="16">
        <f t="shared" ref="E46" si="11">+D46/B46*100</f>
        <v>54.201271069252179</v>
      </c>
      <c r="F46" s="15">
        <f>[14]SCF!D42</f>
        <v>54891947.859999999</v>
      </c>
      <c r="G46" s="15">
        <f>[15]SCF!D42</f>
        <v>25897672.059999999</v>
      </c>
      <c r="H46" s="15">
        <f>[16]SCF!D42</f>
        <v>28660790.539999999</v>
      </c>
      <c r="I46" s="15">
        <f>[17]SCF!D42</f>
        <v>19658181.030000001</v>
      </c>
      <c r="J46" s="15">
        <f>[18]SCF!D42</f>
        <v>21376035.329999998</v>
      </c>
      <c r="K46" s="15">
        <f>[13]SCF!D42</f>
        <v>21805747.75</v>
      </c>
    </row>
    <row r="47" spans="1:11" ht="15" customHeight="1" x14ac:dyDescent="0.3">
      <c r="A47" s="17" t="s">
        <v>46</v>
      </c>
      <c r="B47" s="18">
        <f>[13]SCF!C43</f>
        <v>188596335</v>
      </c>
      <c r="C47" s="18">
        <f t="shared" ref="C47:C61" si="12">SUM(F47:K47)</f>
        <v>92345667.88000001</v>
      </c>
      <c r="D47" s="18">
        <f t="shared" si="10"/>
        <v>96250667.11999999</v>
      </c>
      <c r="E47" s="19">
        <f t="shared" ref="E47:E61" si="13">IFERROR(+D47/B47*100,0)</f>
        <v>51.035279725875895</v>
      </c>
      <c r="F47" s="18">
        <f>[14]SCF!D43</f>
        <v>15009594.68</v>
      </c>
      <c r="G47" s="18">
        <f>[15]SCF!D43</f>
        <v>14892900.6</v>
      </c>
      <c r="H47" s="18">
        <f>[16]SCF!D43</f>
        <v>19796744.690000001</v>
      </c>
      <c r="I47" s="18">
        <f>[17]SCF!D43</f>
        <v>14148076.130000001</v>
      </c>
      <c r="J47" s="18">
        <f>[18]SCF!D43</f>
        <v>14135250.52</v>
      </c>
      <c r="K47" s="18">
        <f>[13]SCF!D43</f>
        <v>14363101.26</v>
      </c>
    </row>
    <row r="48" spans="1:11" ht="15" customHeight="1" x14ac:dyDescent="0.3">
      <c r="A48" s="17" t="s">
        <v>47</v>
      </c>
      <c r="B48" s="18">
        <f>[13]SCF!C44</f>
        <v>10902122</v>
      </c>
      <c r="C48" s="18">
        <f t="shared" si="12"/>
        <v>4629500</v>
      </c>
      <c r="D48" s="18">
        <f t="shared" si="10"/>
        <v>6272622</v>
      </c>
      <c r="E48" s="19">
        <f t="shared" si="13"/>
        <v>57.535789821467787</v>
      </c>
      <c r="F48" s="18">
        <f>[14]SCF!D44</f>
        <v>908000</v>
      </c>
      <c r="G48" s="18">
        <f>[15]SCF!D44</f>
        <v>908500</v>
      </c>
      <c r="H48" s="18">
        <f>[16]SCF!D44</f>
        <v>908500</v>
      </c>
      <c r="I48" s="18">
        <f>[17]SCF!D44</f>
        <v>908000</v>
      </c>
      <c r="J48" s="18">
        <f>[18]SCF!D44</f>
        <v>89000</v>
      </c>
      <c r="K48" s="18">
        <f>[13]SCF!D44</f>
        <v>907500</v>
      </c>
    </row>
    <row r="49" spans="1:11" ht="15" customHeight="1" x14ac:dyDescent="0.3">
      <c r="A49" s="17" t="s">
        <v>48</v>
      </c>
      <c r="B49" s="18">
        <f>[13]SCF!C45</f>
        <v>64369993.399999999</v>
      </c>
      <c r="C49" s="18">
        <f t="shared" si="12"/>
        <v>40101893.459999993</v>
      </c>
      <c r="D49" s="18">
        <f t="shared" si="10"/>
        <v>24268099.940000005</v>
      </c>
      <c r="E49" s="19">
        <f t="shared" si="13"/>
        <v>37.700951418770856</v>
      </c>
      <c r="F49" s="18">
        <f>[14]SCF!D45</f>
        <v>32964617.649999999</v>
      </c>
      <c r="G49" s="18">
        <f>[15]SCF!D45</f>
        <v>2469527.27</v>
      </c>
      <c r="H49" s="18">
        <f>[16]SCF!D45</f>
        <v>1035210.48</v>
      </c>
      <c r="I49" s="18">
        <f>[17]SCF!D45</f>
        <v>812785.03</v>
      </c>
      <c r="J49" s="18">
        <f>[18]SCF!D45</f>
        <v>886316.66</v>
      </c>
      <c r="K49" s="18">
        <f>[13]SCF!D45</f>
        <v>1933436.37</v>
      </c>
    </row>
    <row r="50" spans="1:11" ht="15" customHeight="1" x14ac:dyDescent="0.3">
      <c r="A50" s="17" t="s">
        <v>49</v>
      </c>
      <c r="B50" s="18">
        <f>[13]SCF!C46</f>
        <v>3004049</v>
      </c>
      <c r="C50" s="18">
        <f t="shared" si="12"/>
        <v>1538076.8500000003</v>
      </c>
      <c r="D50" s="18">
        <f t="shared" si="10"/>
        <v>1465972.1499999997</v>
      </c>
      <c r="E50" s="19">
        <f t="shared" si="13"/>
        <v>48.799874769020072</v>
      </c>
      <c r="F50" s="18">
        <f>[14]SCF!D46</f>
        <v>249698.1</v>
      </c>
      <c r="G50" s="18">
        <f>[15]SCF!D46</f>
        <v>228724.57</v>
      </c>
      <c r="H50" s="18">
        <f>[16]SCF!D46</f>
        <v>308407.17</v>
      </c>
      <c r="I50" s="18">
        <f>[17]SCF!D46</f>
        <v>276757.13</v>
      </c>
      <c r="J50" s="18">
        <f>[18]SCF!D46</f>
        <v>259209.09</v>
      </c>
      <c r="K50" s="18">
        <f>[13]SCF!D46</f>
        <v>215280.79</v>
      </c>
    </row>
    <row r="51" spans="1:11" ht="15" customHeight="1" x14ac:dyDescent="0.3">
      <c r="A51" s="17" t="s">
        <v>50</v>
      </c>
      <c r="B51" s="18">
        <f>[13]SCF!C47</f>
        <v>4965645</v>
      </c>
      <c r="C51" s="18">
        <f t="shared" si="12"/>
        <v>2381653.6199999996</v>
      </c>
      <c r="D51" s="18">
        <f t="shared" si="10"/>
        <v>2583991.3800000004</v>
      </c>
      <c r="E51" s="19">
        <f t="shared" si="13"/>
        <v>52.037376413336034</v>
      </c>
      <c r="F51" s="18">
        <f>[14]SCF!D47</f>
        <v>670534.46</v>
      </c>
      <c r="G51" s="18">
        <f>[15]SCF!D47</f>
        <v>421047.53</v>
      </c>
      <c r="H51" s="18">
        <f>[16]SCF!D47</f>
        <v>598084.93999999994</v>
      </c>
      <c r="I51" s="18">
        <f>[17]SCF!D47</f>
        <v>498398.06</v>
      </c>
      <c r="J51" s="18">
        <f>[18]SCF!D47</f>
        <v>138609.88</v>
      </c>
      <c r="K51" s="18">
        <f>[13]SCF!D47</f>
        <v>54978.75</v>
      </c>
    </row>
    <row r="52" spans="1:11" x14ac:dyDescent="0.3">
      <c r="A52" s="17" t="s">
        <v>51</v>
      </c>
      <c r="B52" s="18">
        <f>[13]SCF!C48</f>
        <v>890425</v>
      </c>
      <c r="C52" s="18">
        <f t="shared" si="12"/>
        <v>607490.83000000007</v>
      </c>
      <c r="D52" s="18">
        <f t="shared" si="10"/>
        <v>282934.16999999993</v>
      </c>
      <c r="E52" s="19">
        <f t="shared" si="13"/>
        <v>31.775182637504557</v>
      </c>
      <c r="F52" s="18">
        <f>[14]SCF!D48</f>
        <v>94400</v>
      </c>
      <c r="G52" s="18">
        <f>[15]SCF!D48</f>
        <v>40390</v>
      </c>
      <c r="H52" s="18">
        <f>[16]SCF!D48</f>
        <v>269185.83</v>
      </c>
      <c r="I52" s="18">
        <f>[17]SCF!D48</f>
        <v>39468</v>
      </c>
      <c r="J52" s="18">
        <f>[18]SCF!D48</f>
        <v>65230</v>
      </c>
      <c r="K52" s="18">
        <f>[13]SCF!D48</f>
        <v>98817</v>
      </c>
    </row>
    <row r="53" spans="1:11" ht="15" customHeight="1" x14ac:dyDescent="0.3">
      <c r="A53" s="17" t="s">
        <v>52</v>
      </c>
      <c r="B53" s="18">
        <f>[13]SCF!C49</f>
        <v>14700000</v>
      </c>
      <c r="C53" s="18">
        <f t="shared" si="12"/>
        <v>4159762.5600000005</v>
      </c>
      <c r="D53" s="18">
        <f t="shared" si="10"/>
        <v>10540237.439999999</v>
      </c>
      <c r="E53" s="19">
        <f t="shared" si="13"/>
        <v>71.702295510204067</v>
      </c>
      <c r="F53" s="18">
        <f>[14]SCF!D49</f>
        <v>583206.30000000005</v>
      </c>
      <c r="G53" s="18">
        <f>[15]SCF!D49</f>
        <v>842664.79</v>
      </c>
      <c r="H53" s="18">
        <f>[16]SCF!D49</f>
        <v>717460.53</v>
      </c>
      <c r="I53" s="18">
        <f>[17]SCF!D49</f>
        <v>640473.23</v>
      </c>
      <c r="J53" s="18">
        <f>[18]SCF!D49</f>
        <v>604331.41</v>
      </c>
      <c r="K53" s="18">
        <f>[13]SCF!D49</f>
        <v>771626.3</v>
      </c>
    </row>
    <row r="54" spans="1:11" ht="15" customHeight="1" x14ac:dyDescent="0.3">
      <c r="A54" s="17" t="s">
        <v>53</v>
      </c>
      <c r="B54" s="18">
        <f>[13]SCF!C50</f>
        <v>6618037</v>
      </c>
      <c r="C54" s="18">
        <f t="shared" si="12"/>
        <v>2014668.4000000001</v>
      </c>
      <c r="D54" s="18">
        <f t="shared" si="10"/>
        <v>4603368.5999999996</v>
      </c>
      <c r="E54" s="19">
        <f t="shared" si="13"/>
        <v>69.557915738458391</v>
      </c>
      <c r="F54" s="18">
        <f>[14]SCF!D50</f>
        <v>508597.31</v>
      </c>
      <c r="G54" s="18">
        <f>[15]SCF!D50</f>
        <v>325561.77</v>
      </c>
      <c r="H54" s="18">
        <f>[16]SCF!D50</f>
        <v>558702.98</v>
      </c>
      <c r="I54" s="18">
        <f>[17]SCF!D50</f>
        <v>94767.27</v>
      </c>
      <c r="J54" s="18">
        <f>[18]SCF!D50</f>
        <v>350736.56</v>
      </c>
      <c r="K54" s="18">
        <f>[13]SCF!D50</f>
        <v>176302.51</v>
      </c>
    </row>
    <row r="55" spans="1:11" ht="15" customHeight="1" x14ac:dyDescent="0.3">
      <c r="A55" s="17" t="s">
        <v>54</v>
      </c>
      <c r="B55" s="18">
        <f>[13]SCF!C51</f>
        <v>4188000</v>
      </c>
      <c r="C55" s="18">
        <f t="shared" si="12"/>
        <v>1274929.3399999999</v>
      </c>
      <c r="D55" s="18">
        <f t="shared" si="10"/>
        <v>2913070.66</v>
      </c>
      <c r="E55" s="19">
        <f t="shared" si="13"/>
        <v>69.557561127029615</v>
      </c>
      <c r="F55" s="18">
        <f>[14]SCF!D51</f>
        <v>295139.25</v>
      </c>
      <c r="G55" s="18">
        <f>[15]SCF!D51</f>
        <v>103204</v>
      </c>
      <c r="H55" s="18">
        <f>[16]SCF!D51</f>
        <v>248065.25</v>
      </c>
      <c r="I55" s="18">
        <f>[17]SCF!D51</f>
        <v>177102.95</v>
      </c>
      <c r="J55" s="18">
        <f>[18]SCF!D51</f>
        <v>194945.61</v>
      </c>
      <c r="K55" s="18">
        <f>[13]SCF!D51</f>
        <v>256472.28</v>
      </c>
    </row>
    <row r="56" spans="1:11" ht="15" customHeight="1" x14ac:dyDescent="0.3">
      <c r="A56" s="17" t="s">
        <v>55</v>
      </c>
      <c r="B56" s="18">
        <f>[13]SCF!C52</f>
        <v>4165200</v>
      </c>
      <c r="C56" s="18">
        <f t="shared" si="12"/>
        <v>1699754.56</v>
      </c>
      <c r="D56" s="18">
        <f t="shared" si="10"/>
        <v>2465445.44</v>
      </c>
      <c r="E56" s="19">
        <f t="shared" si="13"/>
        <v>59.191525977143954</v>
      </c>
      <c r="F56" s="18">
        <f>[14]SCF!D52</f>
        <v>293626.14</v>
      </c>
      <c r="G56" s="18">
        <f>[15]SCF!D52</f>
        <v>430376.14</v>
      </c>
      <c r="H56" s="18">
        <f>[16]SCF!D52</f>
        <v>290526.14</v>
      </c>
      <c r="I56" s="18">
        <f>[17]SCF!D52</f>
        <v>297526.14</v>
      </c>
      <c r="J56" s="18">
        <f>[18]SCF!D52</f>
        <v>201650</v>
      </c>
      <c r="K56" s="18">
        <f>[13]SCF!D52</f>
        <v>186050</v>
      </c>
    </row>
    <row r="57" spans="1:11" ht="15" customHeight="1" x14ac:dyDescent="0.3">
      <c r="A57" s="17" t="s">
        <v>56</v>
      </c>
      <c r="B57" s="18">
        <f>[13]SCF!C53</f>
        <v>21731143</v>
      </c>
      <c r="C57" s="18">
        <f t="shared" si="12"/>
        <v>8838051.6699999999</v>
      </c>
      <c r="D57" s="18">
        <f t="shared" si="10"/>
        <v>12893091.33</v>
      </c>
      <c r="E57" s="19">
        <f t="shared" si="13"/>
        <v>59.330019272341083</v>
      </c>
      <c r="F57" s="18">
        <f>[14]SCF!D53</f>
        <v>1213853.96</v>
      </c>
      <c r="G57" s="18">
        <f>[15]SCF!D53</f>
        <v>2056241.15</v>
      </c>
      <c r="H57" s="18">
        <f>[16]SCF!D53</f>
        <v>1807931.7</v>
      </c>
      <c r="I57" s="18">
        <f>[17]SCF!D53</f>
        <v>769412.91</v>
      </c>
      <c r="J57" s="18">
        <f>[18]SCF!D53</f>
        <v>1826661.85</v>
      </c>
      <c r="K57" s="18">
        <f>[13]SCF!D53</f>
        <v>1163950.1000000001</v>
      </c>
    </row>
    <row r="58" spans="1:11" ht="15" customHeight="1" x14ac:dyDescent="0.3">
      <c r="A58" s="17" t="s">
        <v>57</v>
      </c>
      <c r="B58" s="18">
        <f>[13]SCF!C54</f>
        <v>5570000</v>
      </c>
      <c r="C58" s="18">
        <f t="shared" si="12"/>
        <v>1620602.36</v>
      </c>
      <c r="D58" s="18">
        <f t="shared" si="10"/>
        <v>3949397.6399999997</v>
      </c>
      <c r="E58" s="19">
        <f t="shared" si="13"/>
        <v>70.904805026929978</v>
      </c>
      <c r="F58" s="18">
        <f>[14]SCF!D54</f>
        <v>150143.28</v>
      </c>
      <c r="G58" s="18">
        <f>[15]SCF!D54</f>
        <v>514260.02</v>
      </c>
      <c r="H58" s="18">
        <f>[16]SCF!D54</f>
        <v>399957.38</v>
      </c>
      <c r="I58" s="18">
        <f>[17]SCF!D54</f>
        <v>95302</v>
      </c>
      <c r="J58" s="18">
        <f>[18]SCF!D54</f>
        <v>202440</v>
      </c>
      <c r="K58" s="18">
        <f>[13]SCF!D54</f>
        <v>258499.68</v>
      </c>
    </row>
    <row r="59" spans="1:11" ht="15" customHeight="1" x14ac:dyDescent="0.3">
      <c r="A59" s="17" t="s">
        <v>58</v>
      </c>
      <c r="B59" s="18">
        <f>[13]SCF!C55</f>
        <v>33832000</v>
      </c>
      <c r="C59" s="18">
        <f t="shared" si="12"/>
        <v>7567228.1900000004</v>
      </c>
      <c r="D59" s="18">
        <f t="shared" si="10"/>
        <v>26264771.809999999</v>
      </c>
      <c r="E59" s="19">
        <f t="shared" si="13"/>
        <v>77.632926844407663</v>
      </c>
      <c r="F59" s="18">
        <f>[14]SCF!D55</f>
        <v>362184.22</v>
      </c>
      <c r="G59" s="18">
        <f>[15]SCF!D55</f>
        <v>2385828.4900000002</v>
      </c>
      <c r="H59" s="18">
        <f>[16]SCF!D55</f>
        <v>1125720.33</v>
      </c>
      <c r="I59" s="18">
        <f>[17]SCF!D55</f>
        <v>840965.86</v>
      </c>
      <c r="J59" s="18">
        <f>[18]SCF!D55</f>
        <v>1734270.74</v>
      </c>
      <c r="K59" s="18">
        <f>[13]SCF!D55</f>
        <v>1118258.55</v>
      </c>
    </row>
    <row r="60" spans="1:11" ht="15" customHeight="1" x14ac:dyDescent="0.3">
      <c r="A60" s="17" t="s">
        <v>59</v>
      </c>
      <c r="B60" s="18">
        <f>[13]SCF!C56</f>
        <v>11658567</v>
      </c>
      <c r="C60" s="18">
        <f t="shared" si="12"/>
        <v>3143819.3</v>
      </c>
      <c r="D60" s="18">
        <f t="shared" si="10"/>
        <v>8514747.6999999993</v>
      </c>
      <c r="E60" s="19">
        <f t="shared" si="13"/>
        <v>73.034256268373284</v>
      </c>
      <c r="F60" s="18">
        <f>[14]SCF!D56</f>
        <v>1492516.18</v>
      </c>
      <c r="G60" s="18">
        <f>[15]SCF!D56</f>
        <v>227475.82</v>
      </c>
      <c r="H60" s="18">
        <f>[16]SCF!D56</f>
        <v>552818.09</v>
      </c>
      <c r="I60" s="18">
        <f>[17]SCF!D56</f>
        <v>31725.81</v>
      </c>
      <c r="J60" s="18">
        <f>[18]SCF!D56</f>
        <v>586383.5</v>
      </c>
      <c r="K60" s="18">
        <f>[13]SCF!D56</f>
        <v>252899.9</v>
      </c>
    </row>
    <row r="61" spans="1:11" ht="15" customHeight="1" x14ac:dyDescent="0.3">
      <c r="A61" s="17" t="s">
        <v>60</v>
      </c>
      <c r="B61" s="18">
        <f>[13]SCF!C57</f>
        <v>998781</v>
      </c>
      <c r="C61" s="18">
        <f t="shared" si="12"/>
        <v>367275.55</v>
      </c>
      <c r="D61" s="18">
        <f t="shared" si="10"/>
        <v>631505.44999999995</v>
      </c>
      <c r="E61" s="19">
        <f t="shared" si="13"/>
        <v>63.22761946813165</v>
      </c>
      <c r="F61" s="18">
        <f>[14]SCF!D57</f>
        <v>95836.33</v>
      </c>
      <c r="G61" s="18">
        <f>[15]SCF!D57</f>
        <v>50969.91</v>
      </c>
      <c r="H61" s="18">
        <f>[16]SCF!D57</f>
        <v>43475.03</v>
      </c>
      <c r="I61" s="18">
        <f>[17]SCF!D57</f>
        <v>27420.51</v>
      </c>
      <c r="J61" s="18">
        <f>[18]SCF!D57</f>
        <v>100999.51</v>
      </c>
      <c r="K61" s="18">
        <f>[13]SCF!D57</f>
        <v>48574.26</v>
      </c>
    </row>
    <row r="62" spans="1:11" ht="15" customHeight="1" x14ac:dyDescent="0.3">
      <c r="A62" s="10" t="s">
        <v>61</v>
      </c>
      <c r="B62" s="11" t="s">
        <v>15</v>
      </c>
      <c r="C62" s="18"/>
      <c r="D62" s="11" t="s">
        <v>15</v>
      </c>
      <c r="E62" s="13" t="s">
        <v>15</v>
      </c>
      <c r="F62" s="12"/>
      <c r="G62" s="12"/>
      <c r="H62" s="12"/>
      <c r="I62" s="12"/>
      <c r="J62" s="12"/>
      <c r="K62" s="12"/>
    </row>
    <row r="63" spans="1:11" x14ac:dyDescent="0.3">
      <c r="A63" s="24" t="s">
        <v>62</v>
      </c>
      <c r="B63" s="18">
        <f>[13]SCF!C60</f>
        <v>55187344</v>
      </c>
      <c r="C63" s="18">
        <f t="shared" ref="C63:C64" si="14">SUM(F63:K63)</f>
        <v>34636415.230000004</v>
      </c>
      <c r="D63" s="18">
        <f t="shared" ref="D63:D67" si="15">C63-B63</f>
        <v>-20550928.769999996</v>
      </c>
      <c r="E63" s="19">
        <f t="shared" ref="E63:E67" si="16">IFERROR(+D63/B63*100,0)</f>
        <v>-37.238481290203055</v>
      </c>
      <c r="F63" s="18">
        <f>[14]SCF!D60</f>
        <v>0</v>
      </c>
      <c r="G63" s="18">
        <f>[15]SCF!D60</f>
        <v>0</v>
      </c>
      <c r="H63" s="18">
        <f>[16]SCF!D60</f>
        <v>23030754.23</v>
      </c>
      <c r="I63" s="18">
        <f>[17]SCF!D60</f>
        <v>0</v>
      </c>
      <c r="J63" s="18">
        <f>[18]SCF!D60</f>
        <v>0</v>
      </c>
      <c r="K63" s="18">
        <f>[13]SCF!D60</f>
        <v>11605661</v>
      </c>
    </row>
    <row r="64" spans="1:11" x14ac:dyDescent="0.3">
      <c r="A64" s="24" t="s">
        <v>63</v>
      </c>
      <c r="B64" s="18">
        <f>[13]SCF!C61</f>
        <v>0</v>
      </c>
      <c r="C64" s="18">
        <f t="shared" si="14"/>
        <v>0</v>
      </c>
      <c r="D64" s="18">
        <f t="shared" si="15"/>
        <v>0</v>
      </c>
      <c r="E64" s="19">
        <f t="shared" si="16"/>
        <v>0</v>
      </c>
      <c r="F64" s="18">
        <f>[14]SCF!D61</f>
        <v>0</v>
      </c>
      <c r="G64" s="18">
        <f>[15]SCF!D61</f>
        <v>0</v>
      </c>
      <c r="H64" s="18">
        <f>[16]SCF!D61</f>
        <v>0</v>
      </c>
      <c r="I64" s="18">
        <f>[17]SCF!D61</f>
        <v>0</v>
      </c>
      <c r="J64" s="18">
        <f>[18]SCF!D61</f>
        <v>0</v>
      </c>
      <c r="K64" s="18">
        <f>[13]SCF!D61</f>
        <v>0</v>
      </c>
    </row>
    <row r="65" spans="1:11" ht="15" customHeight="1" x14ac:dyDescent="0.3">
      <c r="A65" s="24" t="s">
        <v>64</v>
      </c>
      <c r="B65" s="18">
        <f>[13]SCF!C62</f>
        <v>0</v>
      </c>
      <c r="C65" s="18">
        <f>SUM(F65:K65)</f>
        <v>0</v>
      </c>
      <c r="D65" s="18">
        <f t="shared" si="15"/>
        <v>0</v>
      </c>
      <c r="E65" s="19">
        <f t="shared" si="16"/>
        <v>0</v>
      </c>
      <c r="F65" s="18">
        <f>[14]SCF!D62</f>
        <v>0</v>
      </c>
      <c r="G65" s="18">
        <f>[15]SCF!D62</f>
        <v>0</v>
      </c>
      <c r="H65" s="18">
        <f>[16]SCF!D62</f>
        <v>0</v>
      </c>
      <c r="I65" s="18">
        <f>[17]SCF!D62</f>
        <v>0</v>
      </c>
      <c r="J65" s="18">
        <f>[18]SCF!D62</f>
        <v>0</v>
      </c>
      <c r="K65" s="18">
        <f>[13]SCF!D62</f>
        <v>0</v>
      </c>
    </row>
    <row r="66" spans="1:11" ht="15" customHeight="1" x14ac:dyDescent="0.3">
      <c r="A66" s="24" t="s">
        <v>65</v>
      </c>
      <c r="B66" s="18">
        <f>[13]SCF!C63</f>
        <v>0</v>
      </c>
      <c r="C66" s="18">
        <f t="shared" ref="C66:C67" si="17">SUM(F66:K66)</f>
        <v>0</v>
      </c>
      <c r="D66" s="18">
        <f t="shared" si="15"/>
        <v>0</v>
      </c>
      <c r="E66" s="19">
        <f t="shared" si="16"/>
        <v>0</v>
      </c>
      <c r="F66" s="18">
        <f>[14]SCF!D63</f>
        <v>0</v>
      </c>
      <c r="G66" s="18">
        <f>[15]SCF!D63</f>
        <v>0</v>
      </c>
      <c r="H66" s="18">
        <f>[16]SCF!D63</f>
        <v>0</v>
      </c>
      <c r="I66" s="18">
        <f>[17]SCF!D63</f>
        <v>0</v>
      </c>
      <c r="J66" s="18">
        <f>[18]SCF!D63</f>
        <v>0</v>
      </c>
      <c r="K66" s="18">
        <f>[13]SCF!D63</f>
        <v>0</v>
      </c>
    </row>
    <row r="67" spans="1:11" ht="15" customHeight="1" x14ac:dyDescent="0.3">
      <c r="A67" s="24" t="s">
        <v>66</v>
      </c>
      <c r="B67" s="18">
        <f>[13]SCF!C64</f>
        <v>60971147</v>
      </c>
      <c r="C67" s="18">
        <f t="shared" si="17"/>
        <v>21915126.030000001</v>
      </c>
      <c r="D67" s="18">
        <f t="shared" si="15"/>
        <v>-39056020.969999999</v>
      </c>
      <c r="E67" s="19">
        <f t="shared" si="16"/>
        <v>-64.05656263937432</v>
      </c>
      <c r="F67" s="18">
        <f>[14]SCF!D64</f>
        <v>0</v>
      </c>
      <c r="G67" s="18">
        <f>[15]SCF!D64</f>
        <v>1026903.18</v>
      </c>
      <c r="H67" s="18">
        <f>[16]SCF!D64</f>
        <v>3625722.59</v>
      </c>
      <c r="I67" s="18">
        <f>[17]SCF!D64</f>
        <v>5497794.3499999996</v>
      </c>
      <c r="J67" s="18">
        <f>[18]SCF!D64</f>
        <v>1346726.22</v>
      </c>
      <c r="K67" s="18">
        <f>[13]SCF!D64</f>
        <v>10417979.689999999</v>
      </c>
    </row>
    <row r="68" spans="1:11" ht="15" customHeight="1" x14ac:dyDescent="0.3">
      <c r="A68" s="30" t="s">
        <v>67</v>
      </c>
      <c r="B68" s="15">
        <f>+B63+B64+B65+B66+B67</f>
        <v>116158491</v>
      </c>
      <c r="C68" s="31">
        <f>+C63+C64+C65+C66+C67</f>
        <v>56551541.260000005</v>
      </c>
      <c r="D68" s="31">
        <f t="shared" ref="D68" si="18">+C68-B68</f>
        <v>-59606949.739999995</v>
      </c>
      <c r="E68" s="32">
        <f t="shared" ref="E68" si="19">+D68/B68*100</f>
        <v>-51.315189468155189</v>
      </c>
      <c r="F68" s="31">
        <f t="shared" ref="F68:K68" si="20">+F63+F64+F65+F66+F67</f>
        <v>0</v>
      </c>
      <c r="G68" s="31">
        <f>[15]SCF!D65</f>
        <v>1026903.18</v>
      </c>
      <c r="H68" s="31">
        <f t="shared" si="20"/>
        <v>26656476.82</v>
      </c>
      <c r="I68" s="31">
        <f t="shared" si="20"/>
        <v>5497794.3499999996</v>
      </c>
      <c r="J68" s="31">
        <f t="shared" si="20"/>
        <v>1346726.22</v>
      </c>
      <c r="K68" s="31">
        <f t="shared" si="20"/>
        <v>22023640.689999998</v>
      </c>
    </row>
    <row r="69" spans="1:11" ht="15" customHeight="1" x14ac:dyDescent="0.3">
      <c r="A69" s="10" t="s">
        <v>68</v>
      </c>
      <c r="B69" s="11" t="s">
        <v>15</v>
      </c>
      <c r="C69" s="12" t="s">
        <v>15</v>
      </c>
      <c r="D69" s="11" t="s">
        <v>15</v>
      </c>
      <c r="E69" s="13" t="s">
        <v>15</v>
      </c>
      <c r="F69" s="12" t="s">
        <v>15</v>
      </c>
      <c r="G69" s="12" t="s">
        <v>15</v>
      </c>
      <c r="H69" s="12" t="s">
        <v>15</v>
      </c>
      <c r="I69" s="12" t="s">
        <v>15</v>
      </c>
      <c r="J69" s="12" t="s">
        <v>15</v>
      </c>
      <c r="K69" s="12" t="s">
        <v>15</v>
      </c>
    </row>
    <row r="70" spans="1:11" ht="15" customHeight="1" x14ac:dyDescent="0.3">
      <c r="A70" s="14" t="s">
        <v>69</v>
      </c>
      <c r="B70" s="15">
        <f>[13]SCF!C67</f>
        <v>107621798</v>
      </c>
      <c r="C70" s="15">
        <f>SUM(C71:C76)</f>
        <v>36794903.200000003</v>
      </c>
      <c r="D70" s="15">
        <f t="shared" ref="D70:D82" si="21">+C70-B70</f>
        <v>-70826894.799999997</v>
      </c>
      <c r="E70" s="16">
        <f t="shared" ref="E70:E82" si="22">+D70/B70*100</f>
        <v>-65.810919457041592</v>
      </c>
      <c r="F70" s="15">
        <f>[14]SCF!D67</f>
        <v>5876400.9699999997</v>
      </c>
      <c r="G70" s="15">
        <f>[15]SCF!D67</f>
        <v>5406023.2400000002</v>
      </c>
      <c r="H70" s="15">
        <f>[16]SCF!D67</f>
        <v>6414875.0899999999</v>
      </c>
      <c r="I70" s="15">
        <f>[17]SCF!D67</f>
        <v>4509829.16</v>
      </c>
      <c r="J70" s="15">
        <f>[18]SCF!D67</f>
        <v>8451302.4800000004</v>
      </c>
      <c r="K70" s="15">
        <f>[13]SCF!D67</f>
        <v>6136472.2599999998</v>
      </c>
    </row>
    <row r="71" spans="1:11" ht="15" customHeight="1" x14ac:dyDescent="0.3">
      <c r="A71" s="17" t="s">
        <v>20</v>
      </c>
      <c r="B71" s="18">
        <f>[13]SCF!C68</f>
        <v>56526792.289999999</v>
      </c>
      <c r="C71" s="18">
        <f t="shared" ref="C71:C81" si="23">SUM(F71:K71)</f>
        <v>29645268.809999999</v>
      </c>
      <c r="D71" s="18">
        <f t="shared" si="21"/>
        <v>-26881523.48</v>
      </c>
      <c r="E71" s="19">
        <f t="shared" ref="E71:E81" si="24">IFERROR(+D71/B71*100,0)</f>
        <v>-47.555366917141583</v>
      </c>
      <c r="F71" s="18">
        <f>[14]SCF!D68</f>
        <v>4702703.29</v>
      </c>
      <c r="G71" s="18">
        <f>[15]SCF!D68</f>
        <v>4326274.41</v>
      </c>
      <c r="H71" s="18">
        <f>[16]SCF!D68</f>
        <v>5133627.5999999996</v>
      </c>
      <c r="I71" s="18">
        <f>[17]SCF!D68</f>
        <v>3609077.82</v>
      </c>
      <c r="J71" s="18">
        <f>[18]SCF!D68</f>
        <v>6763317.9199999999</v>
      </c>
      <c r="K71" s="18">
        <f>[13]SCF!D68</f>
        <v>5110267.7699999996</v>
      </c>
    </row>
    <row r="72" spans="1:11" ht="15" customHeight="1" x14ac:dyDescent="0.3">
      <c r="A72" s="17" t="s">
        <v>21</v>
      </c>
      <c r="B72" s="18">
        <f>[13]SCF!C69</f>
        <v>35596308.009999998</v>
      </c>
      <c r="C72" s="18">
        <f t="shared" si="23"/>
        <v>273132.10000000003</v>
      </c>
      <c r="D72" s="18">
        <f t="shared" si="21"/>
        <v>-35323175.909999996</v>
      </c>
      <c r="E72" s="19">
        <f t="shared" si="24"/>
        <v>-99.23269542469609</v>
      </c>
      <c r="F72" s="18">
        <f>[14]SCF!D69</f>
        <v>44837.89</v>
      </c>
      <c r="G72" s="18">
        <f>[15]SCF!D69</f>
        <v>41248.83</v>
      </c>
      <c r="H72" s="18">
        <f>[16]SCF!D69</f>
        <v>48946.53</v>
      </c>
      <c r="I72" s="18">
        <f>[17]SCF!D69</f>
        <v>34410.730000000003</v>
      </c>
      <c r="J72" s="18">
        <f>[18]SCF!D69</f>
        <v>64484.800000000003</v>
      </c>
      <c r="K72" s="18">
        <f>[13]SCF!D69</f>
        <v>39203.32</v>
      </c>
    </row>
    <row r="73" spans="1:11" ht="15" customHeight="1" x14ac:dyDescent="0.3">
      <c r="A73" s="17" t="s">
        <v>22</v>
      </c>
      <c r="B73" s="18">
        <f>[13]SCF!C70</f>
        <v>0</v>
      </c>
      <c r="C73" s="18">
        <f t="shared" si="23"/>
        <v>0</v>
      </c>
      <c r="D73" s="18">
        <f t="shared" si="21"/>
        <v>0</v>
      </c>
      <c r="E73" s="19">
        <f t="shared" si="24"/>
        <v>0</v>
      </c>
      <c r="F73" s="18">
        <f>[14]SCF!D70</f>
        <v>0</v>
      </c>
      <c r="G73" s="18">
        <f>[15]SCF!D70</f>
        <v>0</v>
      </c>
      <c r="H73" s="18">
        <f>[16]SCF!D70</f>
        <v>0</v>
      </c>
      <c r="I73" s="18">
        <f>[17]SCF!D70</f>
        <v>0</v>
      </c>
      <c r="J73" s="18">
        <f>[18]SCF!D70</f>
        <v>0</v>
      </c>
      <c r="K73" s="18">
        <f>[13]SCF!D70</f>
        <v>0</v>
      </c>
    </row>
    <row r="74" spans="1:11" ht="15" customHeight="1" x14ac:dyDescent="0.3">
      <c r="A74" s="17" t="s">
        <v>70</v>
      </c>
      <c r="B74" s="18">
        <f>[13]SCF!C71</f>
        <v>0</v>
      </c>
      <c r="C74" s="18">
        <f t="shared" si="23"/>
        <v>0</v>
      </c>
      <c r="D74" s="18">
        <f t="shared" si="21"/>
        <v>0</v>
      </c>
      <c r="E74" s="19">
        <f t="shared" si="24"/>
        <v>0</v>
      </c>
      <c r="F74" s="18">
        <f>[14]SCF!D71</f>
        <v>0</v>
      </c>
      <c r="G74" s="18">
        <f>[15]SCF!D71</f>
        <v>0</v>
      </c>
      <c r="H74" s="18">
        <f>[16]SCF!D71</f>
        <v>0</v>
      </c>
      <c r="I74" s="18">
        <f>[17]SCF!D71</f>
        <v>0</v>
      </c>
      <c r="J74" s="18">
        <f>[18]SCF!D71</f>
        <v>0</v>
      </c>
      <c r="K74" s="18">
        <f>[13]SCF!D71</f>
        <v>0</v>
      </c>
    </row>
    <row r="75" spans="1:11" ht="15" customHeight="1" x14ac:dyDescent="0.3">
      <c r="A75" s="17" t="s">
        <v>24</v>
      </c>
      <c r="B75" s="18">
        <f>[13]SCF!C72</f>
        <v>15498697.699999999</v>
      </c>
      <c r="C75" s="18">
        <f t="shared" si="23"/>
        <v>6876502.29</v>
      </c>
      <c r="D75" s="18">
        <f t="shared" si="21"/>
        <v>-8622195.4100000001</v>
      </c>
      <c r="E75" s="19">
        <f t="shared" si="24"/>
        <v>-55.631741304303276</v>
      </c>
      <c r="F75" s="18">
        <f>[14]SCF!D72</f>
        <v>1128859.79</v>
      </c>
      <c r="G75" s="18">
        <f>[15]SCF!D72</f>
        <v>1038500</v>
      </c>
      <c r="H75" s="18">
        <f>[16]SCF!D72</f>
        <v>1232300.96</v>
      </c>
      <c r="I75" s="18">
        <f>[17]SCF!D72</f>
        <v>866340.61</v>
      </c>
      <c r="J75" s="18">
        <f>[18]SCF!D72</f>
        <v>1623499.76</v>
      </c>
      <c r="K75" s="18">
        <f>[13]SCF!D72</f>
        <v>987001.17</v>
      </c>
    </row>
    <row r="76" spans="1:11" ht="15" customHeight="1" x14ac:dyDescent="0.3">
      <c r="A76" s="17" t="s">
        <v>25</v>
      </c>
      <c r="B76" s="18">
        <f>[13]SCF!C73</f>
        <v>0</v>
      </c>
      <c r="C76" s="18">
        <f t="shared" si="23"/>
        <v>0</v>
      </c>
      <c r="D76" s="18">
        <f t="shared" si="21"/>
        <v>0</v>
      </c>
      <c r="E76" s="19">
        <f t="shared" si="24"/>
        <v>0</v>
      </c>
      <c r="F76" s="18">
        <f>[14]SCF!D73</f>
        <v>0</v>
      </c>
      <c r="G76" s="18">
        <f>[15]SCF!D73</f>
        <v>0</v>
      </c>
      <c r="H76" s="18">
        <f>[16]SCF!D73</f>
        <v>0</v>
      </c>
      <c r="I76" s="18">
        <f>[17]SCF!D73</f>
        <v>0</v>
      </c>
      <c r="J76" s="18">
        <f>[18]SCF!D73</f>
        <v>0</v>
      </c>
      <c r="K76" s="18">
        <f>[13]SCF!D73</f>
        <v>0</v>
      </c>
    </row>
    <row r="77" spans="1:11" x14ac:dyDescent="0.3">
      <c r="A77" s="24" t="s">
        <v>71</v>
      </c>
      <c r="B77" s="18">
        <f>[13]SCF!C74</f>
        <v>0</v>
      </c>
      <c r="C77" s="18">
        <f t="shared" si="23"/>
        <v>658858.04</v>
      </c>
      <c r="D77" s="18">
        <f t="shared" ref="D77:D81" si="25">C77-B77</f>
        <v>658858.04</v>
      </c>
      <c r="E77" s="19">
        <f t="shared" si="24"/>
        <v>0</v>
      </c>
      <c r="F77" s="18">
        <f>[14]SCF!D74</f>
        <v>658858.04</v>
      </c>
      <c r="G77" s="18">
        <f>[15]SCF!D74</f>
        <v>0</v>
      </c>
      <c r="H77" s="18">
        <f>[16]SCF!D74</f>
        <v>0</v>
      </c>
      <c r="I77" s="18">
        <f>[17]SCF!D74</f>
        <v>0</v>
      </c>
      <c r="J77" s="18">
        <f>[18]SCF!D74</f>
        <v>0</v>
      </c>
      <c r="K77" s="18">
        <f>[13]SCF!D74</f>
        <v>0</v>
      </c>
    </row>
    <row r="78" spans="1:11" x14ac:dyDescent="0.3">
      <c r="A78" s="24" t="s">
        <v>72</v>
      </c>
      <c r="B78" s="18">
        <f>[13]SCF!C75</f>
        <v>50418309</v>
      </c>
      <c r="C78" s="18">
        <f t="shared" si="23"/>
        <v>20645594.439999998</v>
      </c>
      <c r="D78" s="18">
        <f t="shared" si="25"/>
        <v>-29772714.560000002</v>
      </c>
      <c r="E78" s="19">
        <f t="shared" si="24"/>
        <v>-59.051394524159875</v>
      </c>
      <c r="F78" s="18">
        <f>[14]SCF!D75</f>
        <v>810185.11</v>
      </c>
      <c r="G78" s="18">
        <f>[15]SCF!D75</f>
        <v>281676.40000000002</v>
      </c>
      <c r="H78" s="18">
        <f>[16]SCF!D75</f>
        <v>127702.74</v>
      </c>
      <c r="I78" s="18">
        <f>[17]SCF!D75</f>
        <v>12835245.25</v>
      </c>
      <c r="J78" s="18">
        <f>[18]SCF!D75</f>
        <v>17231.95</v>
      </c>
      <c r="K78" s="18">
        <f>[13]SCF!D75</f>
        <v>6573552.9900000002</v>
      </c>
    </row>
    <row r="79" spans="1:11" ht="15" customHeight="1" x14ac:dyDescent="0.3">
      <c r="A79" s="24" t="s">
        <v>73</v>
      </c>
      <c r="B79" s="18">
        <f>[13]SCF!C76</f>
        <v>0</v>
      </c>
      <c r="C79" s="18">
        <f t="shared" si="23"/>
        <v>0</v>
      </c>
      <c r="D79" s="18">
        <f t="shared" si="25"/>
        <v>0</v>
      </c>
      <c r="E79" s="19">
        <f t="shared" si="24"/>
        <v>0</v>
      </c>
      <c r="F79" s="18">
        <f>[14]SCF!D76</f>
        <v>0</v>
      </c>
      <c r="G79" s="18">
        <f>[15]SCF!D76</f>
        <v>0</v>
      </c>
      <c r="H79" s="18">
        <f>[16]SCF!D76</f>
        <v>0</v>
      </c>
      <c r="I79" s="18">
        <f>[17]SCF!D76</f>
        <v>0</v>
      </c>
      <c r="J79" s="18">
        <f>[18]SCF!D76</f>
        <v>0</v>
      </c>
      <c r="K79" s="18">
        <f>[13]SCF!D76</f>
        <v>0</v>
      </c>
    </row>
    <row r="80" spans="1:11" x14ac:dyDescent="0.3">
      <c r="A80" s="24" t="s">
        <v>74</v>
      </c>
      <c r="B80" s="18">
        <f>[13]SCF!C77</f>
        <v>0</v>
      </c>
      <c r="C80" s="18">
        <f t="shared" si="23"/>
        <v>0</v>
      </c>
      <c r="D80" s="18">
        <f t="shared" si="25"/>
        <v>0</v>
      </c>
      <c r="E80" s="19">
        <f t="shared" si="24"/>
        <v>0</v>
      </c>
      <c r="F80" s="18">
        <f>[14]SCF!D77</f>
        <v>0</v>
      </c>
      <c r="G80" s="18">
        <f>[15]SCF!D77</f>
        <v>0</v>
      </c>
      <c r="H80" s="18">
        <f>[16]SCF!D77</f>
        <v>0</v>
      </c>
      <c r="I80" s="18">
        <f>[17]SCF!D77</f>
        <v>0</v>
      </c>
      <c r="J80" s="18">
        <f>[18]SCF!D77</f>
        <v>0</v>
      </c>
      <c r="K80" s="18">
        <f>[13]SCF!D77</f>
        <v>0</v>
      </c>
    </row>
    <row r="81" spans="1:11" x14ac:dyDescent="0.3">
      <c r="A81" s="24" t="s">
        <v>75</v>
      </c>
      <c r="B81" s="18">
        <f>[13]SCF!C78</f>
        <v>37061718</v>
      </c>
      <c r="C81" s="18">
        <f t="shared" si="23"/>
        <v>10179082.319999998</v>
      </c>
      <c r="D81" s="18">
        <f t="shared" si="25"/>
        <v>-26882635.68</v>
      </c>
      <c r="E81" s="19">
        <f t="shared" si="24"/>
        <v>-72.534780173978987</v>
      </c>
      <c r="F81" s="18">
        <f>[14]SCF!D78</f>
        <v>5691288.29</v>
      </c>
      <c r="G81" s="18">
        <f>[15]SCF!D78</f>
        <v>96082.31</v>
      </c>
      <c r="H81" s="18">
        <f>[16]SCF!D78</f>
        <v>17515.96</v>
      </c>
      <c r="I81" s="18">
        <f>[17]SCF!D78</f>
        <v>4369932.8099999996</v>
      </c>
      <c r="J81" s="18">
        <f>[18]SCF!D78</f>
        <v>2234.85</v>
      </c>
      <c r="K81" s="18">
        <f>[13]SCF!D78</f>
        <v>2028.1</v>
      </c>
    </row>
    <row r="82" spans="1:11" ht="15" customHeight="1" x14ac:dyDescent="0.3">
      <c r="A82" s="30" t="s">
        <v>76</v>
      </c>
      <c r="B82" s="15">
        <f>+B70+B77+B78+B79+B80+B81</f>
        <v>195101825</v>
      </c>
      <c r="C82" s="31">
        <f>+C70+C77+C78+C79+C80+C81</f>
        <v>68278438</v>
      </c>
      <c r="D82" s="31">
        <f t="shared" si="21"/>
        <v>-126823387</v>
      </c>
      <c r="E82" s="32">
        <f t="shared" si="22"/>
        <v>-65.003690765065883</v>
      </c>
      <c r="F82" s="31">
        <f t="shared" ref="F82:K82" si="26">+F70+F77+F78+F79+F80+F81</f>
        <v>13036732.41</v>
      </c>
      <c r="G82" s="31">
        <f t="shared" si="26"/>
        <v>5783781.9500000002</v>
      </c>
      <c r="H82" s="31">
        <f t="shared" si="26"/>
        <v>6560093.79</v>
      </c>
      <c r="I82" s="31">
        <f t="shared" si="26"/>
        <v>21715007.219999999</v>
      </c>
      <c r="J82" s="31">
        <f t="shared" si="26"/>
        <v>8470769.2799999993</v>
      </c>
      <c r="K82" s="31">
        <f t="shared" si="26"/>
        <v>12712053.35</v>
      </c>
    </row>
    <row r="83" spans="1:11" ht="15" customHeight="1" x14ac:dyDescent="0.3">
      <c r="A83" s="10" t="s">
        <v>77</v>
      </c>
      <c r="B83" s="11" t="s">
        <v>15</v>
      </c>
      <c r="C83" s="12" t="s">
        <v>15</v>
      </c>
      <c r="D83" s="11" t="s">
        <v>15</v>
      </c>
      <c r="E83" s="13" t="s">
        <v>15</v>
      </c>
      <c r="F83" s="12" t="s">
        <v>15</v>
      </c>
      <c r="G83" s="12" t="s">
        <v>15</v>
      </c>
      <c r="H83" s="12"/>
      <c r="I83" s="12" t="s">
        <v>15</v>
      </c>
      <c r="J83" s="12" t="s">
        <v>15</v>
      </c>
      <c r="K83" s="12"/>
    </row>
    <row r="84" spans="1:11" ht="15" customHeight="1" x14ac:dyDescent="0.3">
      <c r="A84" s="24" t="s">
        <v>78</v>
      </c>
      <c r="B84" s="18">
        <f>[13]SCF!C81</f>
        <v>15174019</v>
      </c>
      <c r="C84" s="18">
        <f t="shared" ref="C84:C86" si="27">SUM(F84:K84)</f>
        <v>79838.55</v>
      </c>
      <c r="D84" s="18">
        <f t="shared" ref="D84:D88" si="28">+C84-B84</f>
        <v>-15094180.449999999</v>
      </c>
      <c r="E84" s="19">
        <f t="shared" ref="E84:E86" si="29">IFERROR(+D84/B84*100,0)</f>
        <v>-99.473847040787277</v>
      </c>
      <c r="F84" s="18">
        <f>[14]SCF!D81</f>
        <v>79838.55</v>
      </c>
      <c r="G84" s="18">
        <f>[15]SCF!D81</f>
        <v>0</v>
      </c>
      <c r="H84" s="18">
        <f>[16]SCF!D81</f>
        <v>0</v>
      </c>
      <c r="I84" s="18">
        <f>[17]SCF!D81</f>
        <v>0</v>
      </c>
      <c r="J84" s="18">
        <f>[18]SCF!D81</f>
        <v>0</v>
      </c>
      <c r="K84" s="18">
        <f>[13]SCF!D81</f>
        <v>0</v>
      </c>
    </row>
    <row r="85" spans="1:11" ht="15" customHeight="1" x14ac:dyDescent="0.3">
      <c r="A85" s="24" t="s">
        <v>79</v>
      </c>
      <c r="B85" s="18">
        <f>[13]SCF!C82</f>
        <v>201879496</v>
      </c>
      <c r="C85" s="18">
        <f t="shared" si="27"/>
        <v>36541159.229999997</v>
      </c>
      <c r="D85" s="18">
        <f t="shared" si="28"/>
        <v>-165338336.77000001</v>
      </c>
      <c r="E85" s="19">
        <f t="shared" si="29"/>
        <v>-81.899519290458315</v>
      </c>
      <c r="F85" s="18">
        <f>[14]SCF!D82</f>
        <v>1103462.81</v>
      </c>
      <c r="G85" s="18">
        <f>[15]SCF!D82</f>
        <v>781551.44</v>
      </c>
      <c r="H85" s="18">
        <f>[16]SCF!D82</f>
        <v>2651.79</v>
      </c>
      <c r="I85" s="18">
        <f>[17]SCF!D82</f>
        <v>2005780.51</v>
      </c>
      <c r="J85" s="18">
        <f>[18]SCF!D82</f>
        <v>27839082.649999999</v>
      </c>
      <c r="K85" s="18">
        <f>[13]SCF!D82</f>
        <v>4808630.03</v>
      </c>
    </row>
    <row r="86" spans="1:11" ht="15" customHeight="1" x14ac:dyDescent="0.3">
      <c r="A86" s="24" t="s">
        <v>80</v>
      </c>
      <c r="B86" s="18">
        <f>[13]SCF!C83</f>
        <v>40281360</v>
      </c>
      <c r="C86" s="18">
        <f t="shared" si="27"/>
        <v>19918529.560000002</v>
      </c>
      <c r="D86" s="18">
        <f t="shared" si="28"/>
        <v>-20362830.439999998</v>
      </c>
      <c r="E86" s="19">
        <f t="shared" si="29"/>
        <v>-50.551496871009313</v>
      </c>
      <c r="F86" s="18">
        <f>[14]SCF!D83</f>
        <v>1461528.31</v>
      </c>
      <c r="G86" s="18">
        <f>[15]SCF!D83</f>
        <v>2557823.12</v>
      </c>
      <c r="H86" s="18">
        <f>[16]SCF!D83</f>
        <v>3774356.52</v>
      </c>
      <c r="I86" s="18">
        <f>[17]SCF!D83</f>
        <v>156616.22</v>
      </c>
      <c r="J86" s="18">
        <f>[18]SCF!D83</f>
        <v>1340494.73</v>
      </c>
      <c r="K86" s="18">
        <f>[13]SCF!D83</f>
        <v>10627710.66</v>
      </c>
    </row>
    <row r="87" spans="1:11" ht="15" customHeight="1" x14ac:dyDescent="0.3">
      <c r="A87" s="30" t="s">
        <v>81</v>
      </c>
      <c r="B87" s="33">
        <f>+B84+B85+B86</f>
        <v>257334875</v>
      </c>
      <c r="C87" s="31">
        <f>+C84+C85+C86</f>
        <v>56539527.339999996</v>
      </c>
      <c r="D87" s="31">
        <f t="shared" si="28"/>
        <v>-200795347.66</v>
      </c>
      <c r="E87" s="32">
        <f>+D87/B87*100</f>
        <v>-78.02881271339534</v>
      </c>
      <c r="F87" s="31">
        <f t="shared" ref="F87:K87" si="30">+F84+F85+F86</f>
        <v>2644829.67</v>
      </c>
      <c r="G87" s="31">
        <f t="shared" si="30"/>
        <v>3339374.56</v>
      </c>
      <c r="H87" s="31">
        <f t="shared" si="30"/>
        <v>3777008.31</v>
      </c>
      <c r="I87" s="31">
        <f t="shared" si="30"/>
        <v>2162396.73</v>
      </c>
      <c r="J87" s="31">
        <f t="shared" si="30"/>
        <v>29179577.379999999</v>
      </c>
      <c r="K87" s="31">
        <f t="shared" si="30"/>
        <v>15436340.690000001</v>
      </c>
    </row>
    <row r="88" spans="1:11" ht="18" customHeight="1" x14ac:dyDescent="0.3">
      <c r="A88" s="25" t="s">
        <v>82</v>
      </c>
      <c r="B88" s="27">
        <f>+B45+B46+B68+B82+B87</f>
        <v>2753642002.4000001</v>
      </c>
      <c r="C88" s="27">
        <f>+C45+C46+C68+C82+C87</f>
        <v>1345417223.3299999</v>
      </c>
      <c r="D88" s="27">
        <f t="shared" si="28"/>
        <v>-1408224779.0700002</v>
      </c>
      <c r="E88" s="28">
        <f>+D88/B88*100</f>
        <v>-51.140445193769899</v>
      </c>
      <c r="F88" s="27">
        <f t="shared" ref="F88:K88" si="31">+F45+F46+F68+F82+F87</f>
        <v>238605106.31</v>
      </c>
      <c r="G88" s="27">
        <f t="shared" si="31"/>
        <v>173742461.08000001</v>
      </c>
      <c r="H88" s="27">
        <f t="shared" si="31"/>
        <v>203062297.00999999</v>
      </c>
      <c r="I88" s="27">
        <f t="shared" si="31"/>
        <v>180147583.04999998</v>
      </c>
      <c r="J88" s="27">
        <f t="shared" si="31"/>
        <v>258009853.08999997</v>
      </c>
      <c r="K88" s="27">
        <f t="shared" si="31"/>
        <v>291849922.79000002</v>
      </c>
    </row>
    <row r="89" spans="1:11" x14ac:dyDescent="0.3">
      <c r="A89" s="29" t="s">
        <v>15</v>
      </c>
      <c r="B89" s="3"/>
      <c r="C89" s="3"/>
      <c r="D89" s="3"/>
      <c r="E89" s="3"/>
    </row>
    <row r="90" spans="1:11" ht="15" customHeight="1" x14ac:dyDescent="0.3">
      <c r="A90" s="10" t="s">
        <v>83</v>
      </c>
      <c r="B90" s="11" t="s">
        <v>15</v>
      </c>
      <c r="C90" s="12" t="s">
        <v>15</v>
      </c>
      <c r="D90" s="11" t="s">
        <v>15</v>
      </c>
      <c r="E90" s="13" t="s">
        <v>15</v>
      </c>
      <c r="F90" s="12" t="s">
        <v>15</v>
      </c>
      <c r="G90" s="12" t="s">
        <v>15</v>
      </c>
      <c r="H90" s="12" t="s">
        <v>15</v>
      </c>
      <c r="I90" s="12" t="s">
        <v>15</v>
      </c>
      <c r="J90" s="12" t="s">
        <v>15</v>
      </c>
      <c r="K90" s="12" t="s">
        <v>15</v>
      </c>
    </row>
    <row r="91" spans="1:11" x14ac:dyDescent="0.3">
      <c r="A91" s="24" t="s">
        <v>84</v>
      </c>
      <c r="B91" s="18">
        <f>[13]SCF!C88</f>
        <v>0</v>
      </c>
      <c r="C91" s="18">
        <f t="shared" ref="C91:C97" si="32">SUM(F91:K91)</f>
        <v>106168018.97</v>
      </c>
      <c r="D91" s="18">
        <f t="shared" ref="D91:D98" si="33">+C91-B91</f>
        <v>106168018.97</v>
      </c>
      <c r="E91" s="19">
        <f>IFERROR(+D91/B91*100,0)</f>
        <v>0</v>
      </c>
      <c r="F91" s="18">
        <f>[14]SCF!D88</f>
        <v>9445834.0099999998</v>
      </c>
      <c r="G91" s="18">
        <f>[15]SCF!D88</f>
        <v>42422094.890000001</v>
      </c>
      <c r="H91" s="18">
        <f>[16]SCF!D88</f>
        <v>20621762.120000001</v>
      </c>
      <c r="I91" s="18">
        <f>[17]SCF!D88</f>
        <v>11383269.68</v>
      </c>
      <c r="J91" s="18">
        <f>[18]SCF!D88</f>
        <v>9220987.0899999999</v>
      </c>
      <c r="K91" s="18">
        <f>[13]SCF!D88</f>
        <v>13074071.18</v>
      </c>
    </row>
    <row r="92" spans="1:11" ht="15" customHeight="1" x14ac:dyDescent="0.3">
      <c r="A92" s="24" t="s">
        <v>85</v>
      </c>
      <c r="B92" s="18">
        <f>[13]SCF!C89</f>
        <v>0</v>
      </c>
      <c r="C92" s="18">
        <f t="shared" si="32"/>
        <v>0</v>
      </c>
      <c r="D92" s="18">
        <f t="shared" si="33"/>
        <v>0</v>
      </c>
      <c r="E92" s="19">
        <f t="shared" ref="E92:E97" si="34">IFERROR(+D92/B92*100,0)</f>
        <v>0</v>
      </c>
      <c r="F92" s="18">
        <f>[14]SCF!D89</f>
        <v>0</v>
      </c>
      <c r="G92" s="18">
        <f>[15]SCF!D89</f>
        <v>0</v>
      </c>
      <c r="H92" s="18">
        <f>[16]SCF!D89</f>
        <v>0</v>
      </c>
      <c r="I92" s="18">
        <f>[17]SCF!D89</f>
        <v>0</v>
      </c>
      <c r="J92" s="18">
        <f>[18]SCF!D89</f>
        <v>0</v>
      </c>
      <c r="K92" s="18">
        <f>[13]SCF!D89</f>
        <v>0</v>
      </c>
    </row>
    <row r="93" spans="1:11" ht="15" customHeight="1" x14ac:dyDescent="0.3">
      <c r="A93" s="24" t="s">
        <v>86</v>
      </c>
      <c r="B93" s="18">
        <f>[13]SCF!C90</f>
        <v>60000000</v>
      </c>
      <c r="C93" s="18">
        <f t="shared" si="32"/>
        <v>33137709.850000001</v>
      </c>
      <c r="D93" s="18">
        <f t="shared" si="33"/>
        <v>-26862290.149999999</v>
      </c>
      <c r="E93" s="19">
        <f t="shared" si="34"/>
        <v>-44.770483583333331</v>
      </c>
      <c r="F93" s="18">
        <f>[14]SCF!D90</f>
        <v>1309713.5900000001</v>
      </c>
      <c r="G93" s="18">
        <f>[15]SCF!D90</f>
        <v>1776525.34</v>
      </c>
      <c r="H93" s="18">
        <f>[16]SCF!D90</f>
        <v>0</v>
      </c>
      <c r="I93" s="18">
        <f>[17]SCF!D90</f>
        <v>0</v>
      </c>
      <c r="J93" s="18">
        <f>[18]SCF!D90</f>
        <v>20404031.289999999</v>
      </c>
      <c r="K93" s="18">
        <f>[13]SCF!D90</f>
        <v>9647439.6300000008</v>
      </c>
    </row>
    <row r="94" spans="1:11" ht="15" customHeight="1" x14ac:dyDescent="0.3">
      <c r="A94" s="24" t="s">
        <v>87</v>
      </c>
      <c r="B94" s="18">
        <f>[13]SCF!C91</f>
        <v>0</v>
      </c>
      <c r="C94" s="18">
        <f t="shared" si="32"/>
        <v>0</v>
      </c>
      <c r="D94" s="18">
        <f t="shared" si="33"/>
        <v>0</v>
      </c>
      <c r="E94" s="19">
        <f t="shared" si="34"/>
        <v>0</v>
      </c>
      <c r="F94" s="18">
        <f>[14]SCF!D91</f>
        <v>0</v>
      </c>
      <c r="G94" s="18">
        <f>[15]SCF!D91</f>
        <v>0</v>
      </c>
      <c r="H94" s="18">
        <f>[16]SCF!D91</f>
        <v>0</v>
      </c>
      <c r="I94" s="18">
        <f>[17]SCF!D91</f>
        <v>0</v>
      </c>
      <c r="J94" s="18">
        <f>[18]SCF!D91</f>
        <v>0</v>
      </c>
      <c r="K94" s="18">
        <f>[13]SCF!D91</f>
        <v>0</v>
      </c>
    </row>
    <row r="95" spans="1:11" ht="15" customHeight="1" x14ac:dyDescent="0.3">
      <c r="A95" s="24" t="s">
        <v>88</v>
      </c>
      <c r="B95" s="18">
        <f>[13]SCF!C92</f>
        <v>0</v>
      </c>
      <c r="C95" s="18">
        <f t="shared" si="32"/>
        <v>0</v>
      </c>
      <c r="D95" s="18">
        <f t="shared" si="33"/>
        <v>0</v>
      </c>
      <c r="E95" s="19">
        <f t="shared" si="34"/>
        <v>0</v>
      </c>
      <c r="F95" s="18">
        <f>[14]SCF!D92</f>
        <v>0</v>
      </c>
      <c r="G95" s="18">
        <f>[15]SCF!D92</f>
        <v>0</v>
      </c>
      <c r="H95" s="18">
        <f>[16]SCF!D92</f>
        <v>0</v>
      </c>
      <c r="I95" s="18">
        <f>[17]SCF!D92</f>
        <v>0</v>
      </c>
      <c r="J95" s="18">
        <f>[18]SCF!D92</f>
        <v>0</v>
      </c>
      <c r="K95" s="18">
        <f>[13]SCF!D92</f>
        <v>0</v>
      </c>
    </row>
    <row r="96" spans="1:11" ht="15" customHeight="1" x14ac:dyDescent="0.3">
      <c r="A96" s="24" t="s">
        <v>89</v>
      </c>
      <c r="B96" s="18">
        <f>[13]SCF!C93</f>
        <v>0</v>
      </c>
      <c r="C96" s="18">
        <f t="shared" si="32"/>
        <v>0</v>
      </c>
      <c r="D96" s="18">
        <f t="shared" si="33"/>
        <v>0</v>
      </c>
      <c r="E96" s="19">
        <f t="shared" si="34"/>
        <v>0</v>
      </c>
      <c r="F96" s="18">
        <f>[14]SCF!D93</f>
        <v>0</v>
      </c>
      <c r="G96" s="18">
        <f>[15]SCF!D93</f>
        <v>0</v>
      </c>
      <c r="H96" s="18">
        <f>[16]SCF!D93</f>
        <v>0</v>
      </c>
      <c r="I96" s="18">
        <f>[17]SCF!D93</f>
        <v>0</v>
      </c>
      <c r="J96" s="18">
        <f>[18]SCF!D93</f>
        <v>0</v>
      </c>
      <c r="K96" s="18">
        <f>[13]SCF!D93</f>
        <v>0</v>
      </c>
    </row>
    <row r="97" spans="1:11" x14ac:dyDescent="0.3">
      <c r="A97" s="24" t="s">
        <v>90</v>
      </c>
      <c r="B97" s="18">
        <f>[13]SCF!C94</f>
        <v>0</v>
      </c>
      <c r="C97" s="18">
        <f t="shared" si="32"/>
        <v>1900000</v>
      </c>
      <c r="D97" s="18">
        <f t="shared" si="33"/>
        <v>1900000</v>
      </c>
      <c r="E97" s="19">
        <f t="shared" si="34"/>
        <v>0</v>
      </c>
      <c r="F97" s="18">
        <f>[14]SCF!D94</f>
        <v>1900000</v>
      </c>
      <c r="G97" s="18">
        <f>[15]SCF!D94</f>
        <v>0</v>
      </c>
      <c r="H97" s="18">
        <f>[16]SCF!D94</f>
        <v>0</v>
      </c>
      <c r="I97" s="18">
        <f>[17]SCF!D94</f>
        <v>0</v>
      </c>
      <c r="J97" s="18">
        <f>[18]SCF!D94</f>
        <v>0</v>
      </c>
      <c r="K97" s="18">
        <f>[13]SCF!D94</f>
        <v>0</v>
      </c>
    </row>
    <row r="98" spans="1:11" ht="15" customHeight="1" x14ac:dyDescent="0.3">
      <c r="A98" s="30" t="s">
        <v>91</v>
      </c>
      <c r="B98" s="33">
        <f>SUM(B91:B97)</f>
        <v>60000000</v>
      </c>
      <c r="C98" s="31">
        <f>SUM(C91:C97)</f>
        <v>141205728.81999999</v>
      </c>
      <c r="D98" s="31">
        <f t="shared" si="33"/>
        <v>81205728.819999993</v>
      </c>
      <c r="E98" s="32">
        <f t="shared" ref="E98" si="35">+D98/B98*100</f>
        <v>135.34288136666666</v>
      </c>
      <c r="F98" s="31">
        <f>[14]SCF!D95</f>
        <v>12655547.6</v>
      </c>
      <c r="G98" s="31">
        <f t="shared" ref="G98:K98" si="36">SUM(G91:G97)</f>
        <v>44198620.230000004</v>
      </c>
      <c r="H98" s="31">
        <f t="shared" si="36"/>
        <v>20621762.120000001</v>
      </c>
      <c r="I98" s="31">
        <f t="shared" si="36"/>
        <v>11383269.68</v>
      </c>
      <c r="J98" s="31">
        <f t="shared" si="36"/>
        <v>29625018.379999999</v>
      </c>
      <c r="K98" s="31">
        <f t="shared" si="36"/>
        <v>22721510.810000002</v>
      </c>
    </row>
    <row r="99" spans="1:11" ht="15" customHeight="1" x14ac:dyDescent="0.3">
      <c r="A99" s="34" t="s">
        <v>92</v>
      </c>
      <c r="B99" s="35">
        <f>+B42-B88-B98</f>
        <v>-28860436.400000095</v>
      </c>
      <c r="C99" s="36">
        <f>+C42-C88-C98</f>
        <v>111558776.57999986</v>
      </c>
      <c r="D99" s="37" t="s">
        <v>15</v>
      </c>
      <c r="E99" s="38" t="s">
        <v>15</v>
      </c>
      <c r="F99" s="36">
        <f t="shared" ref="F99:K99" si="37">+F42-F88-F98</f>
        <v>3165481.7100000028</v>
      </c>
      <c r="G99" s="36">
        <f t="shared" si="37"/>
        <v>6865145.0199999958</v>
      </c>
      <c r="H99" s="36">
        <f t="shared" si="37"/>
        <v>50556506.110000014</v>
      </c>
      <c r="I99" s="36">
        <f t="shared" si="37"/>
        <v>11322769.410000034</v>
      </c>
      <c r="J99" s="36">
        <f t="shared" si="37"/>
        <v>43693251.330000043</v>
      </c>
      <c r="K99" s="36">
        <f t="shared" si="37"/>
        <v>-4044377</v>
      </c>
    </row>
    <row r="100" spans="1:11" ht="15" customHeight="1" x14ac:dyDescent="0.3">
      <c r="A100" s="39" t="s">
        <v>93</v>
      </c>
      <c r="B100" s="18">
        <f>[13]SCF!$C$97</f>
        <v>375840868</v>
      </c>
      <c r="C100" s="18">
        <f>F100</f>
        <v>416186685.87</v>
      </c>
      <c r="D100" s="40" t="s">
        <v>15</v>
      </c>
      <c r="E100" s="41" t="s">
        <v>15</v>
      </c>
      <c r="F100" s="18">
        <f>[14]SCF!$D$97</f>
        <v>416186685.87</v>
      </c>
      <c r="G100" s="18">
        <f>F101</f>
        <v>419352167.57999998</v>
      </c>
      <c r="H100" s="18">
        <f>G101</f>
        <v>426217312.59999996</v>
      </c>
      <c r="I100" s="18">
        <f>H101</f>
        <v>476773818.70999998</v>
      </c>
      <c r="J100" s="18">
        <f t="shared" ref="J100:K100" si="38">I101</f>
        <v>488096588.12</v>
      </c>
      <c r="K100" s="18">
        <f t="shared" si="38"/>
        <v>531789839.45000005</v>
      </c>
    </row>
    <row r="101" spans="1:11" ht="15" customHeight="1" x14ac:dyDescent="0.3">
      <c r="A101" s="34" t="s">
        <v>94</v>
      </c>
      <c r="B101" s="35">
        <f>B99+B100</f>
        <v>346980431.5999999</v>
      </c>
      <c r="C101" s="36">
        <f>C99+C100</f>
        <v>527745462.44999987</v>
      </c>
      <c r="D101" s="42" t="s">
        <v>15</v>
      </c>
      <c r="E101" s="43" t="s">
        <v>15</v>
      </c>
      <c r="F101" s="36">
        <f t="shared" ref="F101:K101" si="39">F99+F100</f>
        <v>419352167.57999998</v>
      </c>
      <c r="G101" s="36">
        <f t="shared" si="39"/>
        <v>426217312.59999996</v>
      </c>
      <c r="H101" s="36">
        <f t="shared" si="39"/>
        <v>476773818.70999998</v>
      </c>
      <c r="I101" s="36">
        <f t="shared" si="39"/>
        <v>488096588.12</v>
      </c>
      <c r="J101" s="36">
        <f t="shared" si="39"/>
        <v>531789839.45000005</v>
      </c>
      <c r="K101" s="36">
        <f t="shared" si="39"/>
        <v>527745462.45000005</v>
      </c>
    </row>
    <row r="102" spans="1:11" x14ac:dyDescent="0.3">
      <c r="F102" s="44">
        <f>[14]SCF!$D$98</f>
        <v>419352167.57999998</v>
      </c>
      <c r="G102" s="44">
        <f>[15]SCF!$D$98</f>
        <v>426217312.61000001</v>
      </c>
      <c r="H102" s="44">
        <f>[16]SCF!$D$98</f>
        <v>476773818.70999998</v>
      </c>
      <c r="I102" s="44">
        <f>[17]SCF!$D$98</f>
        <v>488096588.12</v>
      </c>
      <c r="J102" s="44">
        <f>[18]SCF!$D$98</f>
        <v>531789839.44999999</v>
      </c>
      <c r="K102" s="44">
        <f>[13]SCF!$D$98</f>
        <v>527745462.44999999</v>
      </c>
    </row>
    <row r="103" spans="1:11" x14ac:dyDescent="0.3">
      <c r="F103" s="44">
        <f t="shared" ref="F103:K103" si="40">+F101-F102</f>
        <v>0</v>
      </c>
      <c r="G103" s="44">
        <f t="shared" si="40"/>
        <v>-1.0000050067901611E-2</v>
      </c>
      <c r="H103" s="44">
        <f t="shared" si="40"/>
        <v>0</v>
      </c>
      <c r="I103" s="44">
        <f t="shared" si="40"/>
        <v>0</v>
      </c>
      <c r="J103" s="44">
        <f t="shared" si="40"/>
        <v>0</v>
      </c>
      <c r="K103" s="44">
        <f t="shared" si="40"/>
        <v>0</v>
      </c>
    </row>
  </sheetData>
  <mergeCells count="7">
    <mergeCell ref="A89:E89"/>
    <mergeCell ref="A2:A11"/>
    <mergeCell ref="B2:D2"/>
    <mergeCell ref="E4:G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03"/>
  <sheetViews>
    <sheetView showGridLines="0" zoomScaleNormal="100" workbookViewId="0">
      <selection activeCell="F24" sqref="F24"/>
    </sheetView>
  </sheetViews>
  <sheetFormatPr defaultRowHeight="14.4" outlineLevelCol="1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1" width="23.5546875" style="1" customWidth="1" outlineLevel="1"/>
    <col min="12" max="16384" width="8.88671875" style="1"/>
  </cols>
  <sheetData>
    <row r="1" spans="1:11" ht="16.95" customHeight="1" x14ac:dyDescent="0.3">
      <c r="B1" s="2" t="s">
        <v>0</v>
      </c>
    </row>
    <row r="2" spans="1:11" ht="12.9" customHeight="1" x14ac:dyDescent="0.3">
      <c r="A2" s="3"/>
      <c r="B2" s="4" t="s">
        <v>1</v>
      </c>
      <c r="C2" s="3"/>
      <c r="D2" s="3"/>
    </row>
    <row r="3" spans="1:11" ht="0.6" customHeight="1" x14ac:dyDescent="0.3">
      <c r="A3" s="3"/>
    </row>
    <row r="4" spans="1:11" ht="0.45" customHeight="1" x14ac:dyDescent="0.3">
      <c r="A4" s="3"/>
      <c r="E4" s="3"/>
      <c r="F4" s="3"/>
      <c r="G4" s="3"/>
    </row>
    <row r="5" spans="1:11" ht="4.95" customHeight="1" x14ac:dyDescent="0.3">
      <c r="A5" s="3"/>
      <c r="E5" s="3"/>
      <c r="F5" s="3"/>
      <c r="G5" s="3"/>
    </row>
    <row r="6" spans="1:11" ht="0.6" customHeight="1" x14ac:dyDescent="0.3">
      <c r="A6" s="3"/>
      <c r="E6" s="3"/>
      <c r="F6" s="3"/>
      <c r="G6" s="3"/>
    </row>
    <row r="7" spans="1:11" ht="2.4" customHeight="1" x14ac:dyDescent="0.3">
      <c r="A7" s="3"/>
      <c r="B7" s="5" t="s">
        <v>2</v>
      </c>
      <c r="C7" s="5"/>
      <c r="D7" s="5"/>
      <c r="E7" s="3"/>
      <c r="F7" s="3"/>
      <c r="G7" s="3"/>
    </row>
    <row r="8" spans="1:11" ht="16.95" customHeight="1" x14ac:dyDescent="0.3">
      <c r="A8" s="3"/>
      <c r="B8" s="5"/>
      <c r="C8" s="5"/>
      <c r="D8" s="5"/>
    </row>
    <row r="9" spans="1:11" ht="1.95" customHeight="1" x14ac:dyDescent="0.3">
      <c r="A9" s="3"/>
      <c r="B9" s="6" t="str">
        <f>+CONCATENATE("JUNE 2023,"&amp;" "&amp;B13)</f>
        <v>JUNE 2023, NEECO II - AREA 2</v>
      </c>
      <c r="C9" s="6"/>
    </row>
    <row r="10" spans="1:11" ht="15.6" customHeight="1" x14ac:dyDescent="0.3">
      <c r="A10" s="3"/>
      <c r="B10" s="6"/>
      <c r="C10" s="6"/>
    </row>
    <row r="11" spans="1:11" ht="0.45" customHeight="1" x14ac:dyDescent="0.3">
      <c r="A11" s="3"/>
    </row>
    <row r="12" spans="1:11" ht="0" hidden="1" customHeight="1" x14ac:dyDescent="0.3"/>
    <row r="13" spans="1:11" ht="15.45" customHeight="1" x14ac:dyDescent="0.3">
      <c r="B13" s="7" t="str">
        <f>+[19]SCF!$C$2</f>
        <v>NEECO II - AREA 2</v>
      </c>
    </row>
    <row r="14" spans="1:11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9" t="s">
        <v>10</v>
      </c>
      <c r="I14" s="9" t="s">
        <v>11</v>
      </c>
      <c r="J14" s="9" t="s">
        <v>12</v>
      </c>
      <c r="K14" s="9" t="s">
        <v>13</v>
      </c>
    </row>
    <row r="15" spans="1:11" ht="15" customHeight="1" x14ac:dyDescent="0.3">
      <c r="A15" s="10" t="s">
        <v>14</v>
      </c>
      <c r="B15" s="11" t="s">
        <v>15</v>
      </c>
      <c r="C15" s="12" t="s">
        <v>15</v>
      </c>
      <c r="D15" s="11" t="s">
        <v>15</v>
      </c>
      <c r="E15" s="13" t="s">
        <v>15</v>
      </c>
      <c r="F15" s="12" t="s">
        <v>15</v>
      </c>
      <c r="G15" s="12" t="s">
        <v>15</v>
      </c>
      <c r="H15" s="12" t="s">
        <v>15</v>
      </c>
      <c r="I15" s="12" t="s">
        <v>15</v>
      </c>
      <c r="J15" s="12" t="s">
        <v>15</v>
      </c>
      <c r="K15" s="12" t="s">
        <v>15</v>
      </c>
    </row>
    <row r="16" spans="1:11" ht="15" customHeight="1" x14ac:dyDescent="0.3">
      <c r="A16" s="14" t="s">
        <v>16</v>
      </c>
      <c r="B16" s="15">
        <f>[19]SCF!C12</f>
        <v>3350943368.46</v>
      </c>
      <c r="C16" s="15">
        <f>+C17+C18+C19+C26+C27+C28</f>
        <v>1296382687.95</v>
      </c>
      <c r="D16" s="15">
        <f>+C16-B16</f>
        <v>-2054560680.51</v>
      </c>
      <c r="E16" s="16">
        <f t="shared" ref="E16:E42" si="0">+D16/B16*100</f>
        <v>-61.312903698943103</v>
      </c>
      <c r="F16" s="15">
        <f>[20]SCF!D12</f>
        <v>205929254.41999999</v>
      </c>
      <c r="G16" s="15">
        <f>[21]SCF!D12</f>
        <v>193580758.13999999</v>
      </c>
      <c r="H16" s="15">
        <f>[22]SCF!D12</f>
        <v>214637802.33000001</v>
      </c>
      <c r="I16" s="15">
        <f>[23]SCF!D12</f>
        <v>176780778.31999999</v>
      </c>
      <c r="J16" s="15">
        <f>[24]SCF!D12</f>
        <v>251997735.93000001</v>
      </c>
      <c r="K16" s="15">
        <f>[19]SCF!D12</f>
        <v>253456358.81</v>
      </c>
    </row>
    <row r="17" spans="1:11" ht="15" customHeight="1" x14ac:dyDescent="0.3">
      <c r="A17" s="17" t="s">
        <v>17</v>
      </c>
      <c r="B17" s="18">
        <f>[19]SCF!C13</f>
        <v>2803955091.8200002</v>
      </c>
      <c r="C17" s="18">
        <f>SUM(F17:K17)</f>
        <v>1056724077.7299999</v>
      </c>
      <c r="D17" s="18">
        <f t="shared" ref="D17:D42" si="1">+C17-B17</f>
        <v>-1747231014.0900002</v>
      </c>
      <c r="E17" s="19">
        <f t="shared" ref="E17:E18" si="2">IFERROR(+D17/B17*100,0)</f>
        <v>-62.31308836533119</v>
      </c>
      <c r="F17" s="18">
        <f>[20]SCF!D13</f>
        <v>167055017.71000001</v>
      </c>
      <c r="G17" s="18">
        <f>[21]SCF!D13</f>
        <v>158117890.68000001</v>
      </c>
      <c r="H17" s="18">
        <f>[22]SCF!D13</f>
        <v>175619186.78999999</v>
      </c>
      <c r="I17" s="18">
        <f>[23]SCF!D13</f>
        <v>143574732.41999999</v>
      </c>
      <c r="J17" s="18">
        <f>[24]SCF!D13</f>
        <v>204889089.72</v>
      </c>
      <c r="K17" s="18">
        <f>[19]SCF!D13</f>
        <v>207468160.41</v>
      </c>
    </row>
    <row r="18" spans="1:11" ht="15" customHeight="1" x14ac:dyDescent="0.3">
      <c r="A18" s="17" t="s">
        <v>18</v>
      </c>
      <c r="B18" s="18">
        <f>[19]SCF!C14</f>
        <v>165953401.40000001</v>
      </c>
      <c r="C18" s="18">
        <f>SUM(F18:K18)</f>
        <v>72923011.170000002</v>
      </c>
      <c r="D18" s="18">
        <f t="shared" si="1"/>
        <v>-93030390.230000004</v>
      </c>
      <c r="E18" s="19">
        <f t="shared" si="2"/>
        <v>-56.058140083412603</v>
      </c>
      <c r="F18" s="18">
        <f>[20]SCF!D14</f>
        <v>11458766.59</v>
      </c>
      <c r="G18" s="18">
        <f>[21]SCF!D14</f>
        <v>10604594.689999999</v>
      </c>
      <c r="H18" s="18">
        <f>[22]SCF!D14</f>
        <v>11926917.880000001</v>
      </c>
      <c r="I18" s="18">
        <f>[23]SCF!D14</f>
        <v>10104711.75</v>
      </c>
      <c r="J18" s="18">
        <f>[24]SCF!D14</f>
        <v>14590070.85</v>
      </c>
      <c r="K18" s="18">
        <f>[19]SCF!D14</f>
        <v>14237949.41</v>
      </c>
    </row>
    <row r="19" spans="1:11" ht="15" customHeight="1" x14ac:dyDescent="0.3">
      <c r="A19" s="20" t="s">
        <v>19</v>
      </c>
      <c r="B19" s="15">
        <f>[19]SCF!C15</f>
        <v>71402556.489999995</v>
      </c>
      <c r="C19" s="21">
        <f>+C20+C21+C22+C23+C24+C25</f>
        <v>35717567.380000003</v>
      </c>
      <c r="D19" s="21">
        <f t="shared" si="1"/>
        <v>-35684989.109999992</v>
      </c>
      <c r="E19" s="22">
        <f t="shared" si="0"/>
        <v>-49.97718690226128</v>
      </c>
      <c r="F19" s="21">
        <f>[20]SCF!D15</f>
        <v>5488354.6200000001</v>
      </c>
      <c r="G19" s="21">
        <f>[21]SCF!D15</f>
        <v>5118481.38</v>
      </c>
      <c r="H19" s="21">
        <f>[22]SCF!D15</f>
        <v>5719725.3700000001</v>
      </c>
      <c r="I19" s="21">
        <f>[23]SCF!D15</f>
        <v>4872442.82</v>
      </c>
      <c r="J19" s="21">
        <f>[24]SCF!D15</f>
        <v>7055858.4900000002</v>
      </c>
      <c r="K19" s="21">
        <f>[19]SCF!D15</f>
        <v>7462704.7000000002</v>
      </c>
    </row>
    <row r="20" spans="1:11" ht="15" customHeight="1" x14ac:dyDescent="0.3">
      <c r="A20" s="23" t="s">
        <v>20</v>
      </c>
      <c r="B20" s="18">
        <f>[19]SCF!C16</f>
        <v>47996142.469999999</v>
      </c>
      <c r="C20" s="18">
        <f t="shared" ref="C20:C26" si="3">SUM(F20:K20)</f>
        <v>28615201.790000003</v>
      </c>
      <c r="D20" s="18">
        <f t="shared" si="1"/>
        <v>-19380940.679999996</v>
      </c>
      <c r="E20" s="19">
        <f t="shared" ref="E20:E28" si="4">IFERROR(+D20/B20*100,0)</f>
        <v>-40.380204913580414</v>
      </c>
      <c r="F20" s="18">
        <f>[20]SCF!D16</f>
        <v>4329835.3899999997</v>
      </c>
      <c r="G20" s="18">
        <f>[21]SCF!D16</f>
        <v>4094768.93</v>
      </c>
      <c r="H20" s="18">
        <f>[22]SCF!D16</f>
        <v>4570575.7300000004</v>
      </c>
      <c r="I20" s="18">
        <f>[23]SCF!D16</f>
        <v>3897112.62</v>
      </c>
      <c r="J20" s="18">
        <f>[24]SCF!D16</f>
        <v>5644346.4800000004</v>
      </c>
      <c r="K20" s="18">
        <f>[19]SCF!D16</f>
        <v>6078562.6399999997</v>
      </c>
    </row>
    <row r="21" spans="1:11" ht="15" customHeight="1" x14ac:dyDescent="0.3">
      <c r="A21" s="23" t="s">
        <v>21</v>
      </c>
      <c r="B21" s="18">
        <f>[19]SCF!C17</f>
        <v>6946183.8099999996</v>
      </c>
      <c r="C21" s="18">
        <f t="shared" si="3"/>
        <v>268191.63</v>
      </c>
      <c r="D21" s="18">
        <f t="shared" si="1"/>
        <v>-6677992.1799999997</v>
      </c>
      <c r="E21" s="19">
        <f t="shared" si="4"/>
        <v>-96.13900758551911</v>
      </c>
      <c r="F21" s="18">
        <f>[20]SCF!D17</f>
        <v>41630.31</v>
      </c>
      <c r="G21" s="18">
        <f>[21]SCF!D17</f>
        <v>38945.56</v>
      </c>
      <c r="H21" s="18">
        <f>[22]SCF!D17</f>
        <v>43868.15</v>
      </c>
      <c r="I21" s="18">
        <f>[23]SCF!D17</f>
        <v>37184.75</v>
      </c>
      <c r="J21" s="18">
        <f>[24]SCF!D17</f>
        <v>53842.25</v>
      </c>
      <c r="K21" s="18">
        <f>[19]SCF!D17</f>
        <v>52720.61</v>
      </c>
    </row>
    <row r="22" spans="1:11" ht="15" customHeight="1" x14ac:dyDescent="0.3">
      <c r="A22" s="23" t="s">
        <v>22</v>
      </c>
      <c r="B22" s="18">
        <f>[19]SCF!C18</f>
        <v>259430</v>
      </c>
      <c r="C22" s="18">
        <f t="shared" si="3"/>
        <v>339.04999999999995</v>
      </c>
      <c r="D22" s="18">
        <f t="shared" si="1"/>
        <v>-259090.95</v>
      </c>
      <c r="E22" s="19">
        <f t="shared" si="4"/>
        <v>-99.869309640365429</v>
      </c>
      <c r="F22" s="18">
        <f>[20]SCF!D18</f>
        <v>0</v>
      </c>
      <c r="G22" s="18">
        <f>[21]SCF!D18</f>
        <v>95.46</v>
      </c>
      <c r="H22" s="18">
        <f>[22]SCF!D18</f>
        <v>40.520000000000003</v>
      </c>
      <c r="I22" s="18">
        <f>[23]SCF!D18</f>
        <v>63.61</v>
      </c>
      <c r="J22" s="18">
        <f>[24]SCF!D18</f>
        <v>59.39</v>
      </c>
      <c r="K22" s="18">
        <f>[19]SCF!D18</f>
        <v>80.069999999999993</v>
      </c>
    </row>
    <row r="23" spans="1:11" ht="15" customHeight="1" x14ac:dyDescent="0.3">
      <c r="A23" s="23" t="s">
        <v>23</v>
      </c>
      <c r="B23" s="18">
        <f>[19]SCF!C19</f>
        <v>559382.49</v>
      </c>
      <c r="C23" s="18">
        <f t="shared" si="3"/>
        <v>85583.1</v>
      </c>
      <c r="D23" s="18">
        <f t="shared" si="1"/>
        <v>-473799.39</v>
      </c>
      <c r="E23" s="19">
        <f t="shared" si="4"/>
        <v>-84.70043279331108</v>
      </c>
      <c r="F23" s="18">
        <f>[20]SCF!D19</f>
        <v>69065.88</v>
      </c>
      <c r="G23" s="18">
        <f>[21]SCF!D19</f>
        <v>4698.5600000000004</v>
      </c>
      <c r="H23" s="18">
        <f>[22]SCF!D19</f>
        <v>1234.33</v>
      </c>
      <c r="I23" s="18">
        <f>[23]SCF!D19</f>
        <v>2513.1</v>
      </c>
      <c r="J23" s="18">
        <f>[24]SCF!D19</f>
        <v>2908.47</v>
      </c>
      <c r="K23" s="18">
        <f>[19]SCF!D19</f>
        <v>5162.76</v>
      </c>
    </row>
    <row r="24" spans="1:11" ht="15" customHeight="1" x14ac:dyDescent="0.3">
      <c r="A24" s="23" t="s">
        <v>24</v>
      </c>
      <c r="B24" s="18">
        <f>[19]SCF!C20</f>
        <v>15641417.720000001</v>
      </c>
      <c r="C24" s="18">
        <f t="shared" si="3"/>
        <v>6748251.8099999996</v>
      </c>
      <c r="D24" s="18">
        <f t="shared" si="1"/>
        <v>-8893165.9100000001</v>
      </c>
      <c r="E24" s="19">
        <f t="shared" si="4"/>
        <v>-56.856520739988269</v>
      </c>
      <c r="F24" s="18">
        <f>[20]SCF!D20</f>
        <v>1047823.04</v>
      </c>
      <c r="G24" s="18">
        <f>[21]SCF!D20</f>
        <v>979972.87</v>
      </c>
      <c r="H24" s="18">
        <f>[22]SCF!D20</f>
        <v>1104006.6399999999</v>
      </c>
      <c r="I24" s="18">
        <f>[23]SCF!D20</f>
        <v>935568.74</v>
      </c>
      <c r="J24" s="18">
        <f>[24]SCF!D20</f>
        <v>1354701.9</v>
      </c>
      <c r="K24" s="18">
        <f>[19]SCF!D20</f>
        <v>1326178.6200000001</v>
      </c>
    </row>
    <row r="25" spans="1:11" ht="15" customHeight="1" x14ac:dyDescent="0.3">
      <c r="A25" s="23" t="s">
        <v>25</v>
      </c>
      <c r="B25" s="18">
        <f>[19]SCF!C21</f>
        <v>0</v>
      </c>
      <c r="C25" s="18">
        <f t="shared" si="3"/>
        <v>0</v>
      </c>
      <c r="D25" s="18">
        <f t="shared" si="1"/>
        <v>0</v>
      </c>
      <c r="E25" s="19">
        <f t="shared" si="4"/>
        <v>0</v>
      </c>
      <c r="F25" s="18">
        <f>[20]SCF!D21</f>
        <v>0</v>
      </c>
      <c r="G25" s="18">
        <f>[21]SCF!D21</f>
        <v>0</v>
      </c>
      <c r="H25" s="18">
        <f>[22]SCF!D21</f>
        <v>0</v>
      </c>
      <c r="I25" s="18">
        <f>[23]SCF!D21</f>
        <v>0</v>
      </c>
      <c r="J25" s="18">
        <f>[24]SCF!D21</f>
        <v>0</v>
      </c>
      <c r="K25" s="18">
        <f>[19]SCF!D21</f>
        <v>0</v>
      </c>
    </row>
    <row r="26" spans="1:11" ht="15" customHeight="1" x14ac:dyDescent="0.3">
      <c r="A26" s="17" t="s">
        <v>26</v>
      </c>
      <c r="B26" s="18">
        <f>[19]SCF!C22</f>
        <v>35288442.950000003</v>
      </c>
      <c r="C26" s="18">
        <f t="shared" si="3"/>
        <v>434240.14999999997</v>
      </c>
      <c r="D26" s="18">
        <f t="shared" si="1"/>
        <v>-34854202.800000004</v>
      </c>
      <c r="E26" s="19">
        <f t="shared" si="4"/>
        <v>-98.769455057523302</v>
      </c>
      <c r="F26" s="18">
        <f>[20]SCF!D22</f>
        <v>212115.75</v>
      </c>
      <c r="G26" s="18">
        <f>[21]SCF!D22</f>
        <v>160828.46</v>
      </c>
      <c r="H26" s="18">
        <f>[22]SCF!D22</f>
        <v>28671.06</v>
      </c>
      <c r="I26" s="18">
        <f>[23]SCF!D22</f>
        <v>12153.77</v>
      </c>
      <c r="J26" s="18">
        <f>[24]SCF!D22</f>
        <v>11574.5</v>
      </c>
      <c r="K26" s="18">
        <f>[19]SCF!D22</f>
        <v>8896.61</v>
      </c>
    </row>
    <row r="27" spans="1:11" ht="15" customHeight="1" x14ac:dyDescent="0.3">
      <c r="A27" s="17" t="s">
        <v>27</v>
      </c>
      <c r="B27" s="18">
        <f>[19]SCF!C23</f>
        <v>274343875.80000001</v>
      </c>
      <c r="C27" s="18">
        <f>SUM(F27:K27)</f>
        <v>130583791.52000001</v>
      </c>
      <c r="D27" s="18">
        <f t="shared" si="1"/>
        <v>-143760084.28</v>
      </c>
      <c r="E27" s="19">
        <f t="shared" si="4"/>
        <v>-52.401419153530817</v>
      </c>
      <c r="F27" s="18">
        <f>[20]SCF!D23</f>
        <v>21714999.75</v>
      </c>
      <c r="G27" s="18">
        <f>[21]SCF!D23</f>
        <v>19578962.93</v>
      </c>
      <c r="H27" s="18">
        <f>[22]SCF!D23</f>
        <v>21343301.23</v>
      </c>
      <c r="I27" s="18">
        <f>[23]SCF!D23</f>
        <v>18216737.559999999</v>
      </c>
      <c r="J27" s="18">
        <f>[24]SCF!D23</f>
        <v>25451142.370000001</v>
      </c>
      <c r="K27" s="18">
        <f>[19]SCF!D23</f>
        <v>24278647.68</v>
      </c>
    </row>
    <row r="28" spans="1:11" ht="15" customHeight="1" x14ac:dyDescent="0.3">
      <c r="A28" s="17" t="s">
        <v>28</v>
      </c>
      <c r="B28" s="18">
        <f>[19]SCF!C24</f>
        <v>0</v>
      </c>
      <c r="C28" s="18">
        <f>SUM(F28:K28)</f>
        <v>0</v>
      </c>
      <c r="D28" s="18">
        <f t="shared" si="1"/>
        <v>0</v>
      </c>
      <c r="E28" s="19">
        <f t="shared" si="4"/>
        <v>0</v>
      </c>
      <c r="F28" s="18">
        <f>[20]SCF!D24</f>
        <v>0</v>
      </c>
      <c r="G28" s="18">
        <f>[21]SCF!D24</f>
        <v>0</v>
      </c>
      <c r="H28" s="18">
        <f>[22]SCF!D24</f>
        <v>0</v>
      </c>
      <c r="I28" s="18">
        <f>[23]SCF!D24</f>
        <v>0</v>
      </c>
      <c r="J28" s="18">
        <f>[24]SCF!D24</f>
        <v>0</v>
      </c>
      <c r="K28" s="18">
        <f>[19]SCF!D24</f>
        <v>0</v>
      </c>
    </row>
    <row r="29" spans="1:11" ht="15" customHeight="1" x14ac:dyDescent="0.3">
      <c r="A29" s="14" t="s">
        <v>29</v>
      </c>
      <c r="B29" s="15">
        <f>[19]SCF!C25</f>
        <v>161271114.5</v>
      </c>
      <c r="C29" s="15">
        <f>+C30+C31+C32</f>
        <v>174547804.19999999</v>
      </c>
      <c r="D29" s="15">
        <f t="shared" si="1"/>
        <v>13276689.699999988</v>
      </c>
      <c r="E29" s="16">
        <f t="shared" si="0"/>
        <v>8.232528026585932</v>
      </c>
      <c r="F29" s="15">
        <f>[20]SCF!D25</f>
        <v>56737581.340000004</v>
      </c>
      <c r="G29" s="15">
        <f>[21]SCF!D25</f>
        <v>27842532.18</v>
      </c>
      <c r="H29" s="15">
        <f>[22]SCF!D25</f>
        <v>26667084.68</v>
      </c>
      <c r="I29" s="15">
        <f>[23]SCF!D25</f>
        <v>26712925.559999999</v>
      </c>
      <c r="J29" s="15">
        <f>[24]SCF!D25</f>
        <v>21742233.210000001</v>
      </c>
      <c r="K29" s="15">
        <f>[19]SCF!D25</f>
        <v>14845447.23</v>
      </c>
    </row>
    <row r="30" spans="1:11" ht="15" customHeight="1" x14ac:dyDescent="0.3">
      <c r="A30" s="17" t="s">
        <v>30</v>
      </c>
      <c r="B30" s="18">
        <f>[19]SCF!C26</f>
        <v>41559769</v>
      </c>
      <c r="C30" s="18">
        <f t="shared" ref="C30:C32" si="5">SUM(F30:K30)</f>
        <v>22674086.649999995</v>
      </c>
      <c r="D30" s="18">
        <f t="shared" si="1"/>
        <v>-18885682.350000005</v>
      </c>
      <c r="E30" s="19">
        <f t="shared" ref="E30:E32" si="6">IFERROR(+D30/B30*100,0)</f>
        <v>-45.44222165912425</v>
      </c>
      <c r="F30" s="18">
        <f>[20]SCF!D26</f>
        <v>3495858.63</v>
      </c>
      <c r="G30" s="18">
        <f>[21]SCF!D26</f>
        <v>4868438.8899999997</v>
      </c>
      <c r="H30" s="18">
        <f>[22]SCF!D26</f>
        <v>3302597.13</v>
      </c>
      <c r="I30" s="18">
        <f>[23]SCF!D26</f>
        <v>5439748.5099999998</v>
      </c>
      <c r="J30" s="18">
        <f>[24]SCF!D26</f>
        <v>2679630.77</v>
      </c>
      <c r="K30" s="18">
        <f>[19]SCF!D26</f>
        <v>2887812.72</v>
      </c>
    </row>
    <row r="31" spans="1:11" ht="15" customHeight="1" x14ac:dyDescent="0.3">
      <c r="A31" s="17" t="s">
        <v>31</v>
      </c>
      <c r="B31" s="18">
        <f>[19]SCF!C27</f>
        <v>0</v>
      </c>
      <c r="C31" s="18">
        <f t="shared" si="5"/>
        <v>0</v>
      </c>
      <c r="D31" s="18">
        <f t="shared" si="1"/>
        <v>0</v>
      </c>
      <c r="E31" s="19">
        <f t="shared" si="6"/>
        <v>0</v>
      </c>
      <c r="F31" s="18">
        <f>[20]SCF!D27</f>
        <v>0</v>
      </c>
      <c r="G31" s="18">
        <f>[21]SCF!D27</f>
        <v>0</v>
      </c>
      <c r="H31" s="18">
        <f>[22]SCF!D27</f>
        <v>0</v>
      </c>
      <c r="I31" s="18">
        <f>[23]SCF!D27</f>
        <v>0</v>
      </c>
      <c r="J31" s="18">
        <f>[24]SCF!D27</f>
        <v>0</v>
      </c>
      <c r="K31" s="18">
        <f>[19]SCF!D27</f>
        <v>0</v>
      </c>
    </row>
    <row r="32" spans="1:11" x14ac:dyDescent="0.3">
      <c r="A32" s="17" t="s">
        <v>32</v>
      </c>
      <c r="B32" s="18">
        <f>[19]SCF!C28</f>
        <v>119711345.5</v>
      </c>
      <c r="C32" s="18">
        <f t="shared" si="5"/>
        <v>151873717.54999998</v>
      </c>
      <c r="D32" s="18">
        <f t="shared" si="1"/>
        <v>32162372.049999982</v>
      </c>
      <c r="E32" s="19">
        <f t="shared" si="6"/>
        <v>26.866603090681977</v>
      </c>
      <c r="F32" s="18">
        <f>[20]SCF!D28</f>
        <v>53241722.710000001</v>
      </c>
      <c r="G32" s="18">
        <f>[21]SCF!D28</f>
        <v>22974093.289999999</v>
      </c>
      <c r="H32" s="18">
        <f>[22]SCF!D28</f>
        <v>23364487.550000001</v>
      </c>
      <c r="I32" s="18">
        <f>[23]SCF!D28</f>
        <v>21273177.050000001</v>
      </c>
      <c r="J32" s="18">
        <f>[24]SCF!D28</f>
        <v>19062602.440000001</v>
      </c>
      <c r="K32" s="18">
        <f>[19]SCF!D28</f>
        <v>11957634.51</v>
      </c>
    </row>
    <row r="33" spans="1:11" x14ac:dyDescent="0.3">
      <c r="A33" s="14" t="s">
        <v>33</v>
      </c>
      <c r="B33" s="15">
        <f>[19]SCF!C29</f>
        <v>150000000</v>
      </c>
      <c r="C33" s="15">
        <f>+C34+C35+C36+C37</f>
        <v>0</v>
      </c>
      <c r="D33" s="15">
        <f t="shared" si="1"/>
        <v>-150000000</v>
      </c>
      <c r="E33" s="16">
        <f t="shared" si="0"/>
        <v>-100</v>
      </c>
      <c r="F33" s="15">
        <f>[20]SCF!D29</f>
        <v>0</v>
      </c>
      <c r="G33" s="15">
        <f>[21]SCF!D29</f>
        <v>0</v>
      </c>
      <c r="H33" s="15">
        <f>[22]SCF!D29</f>
        <v>0</v>
      </c>
      <c r="I33" s="15">
        <f>[23]SCF!D29</f>
        <v>0</v>
      </c>
      <c r="J33" s="15">
        <f>[24]SCF!D29</f>
        <v>0</v>
      </c>
      <c r="K33" s="15">
        <f>[19]SCF!D29</f>
        <v>0</v>
      </c>
    </row>
    <row r="34" spans="1:11" ht="15" customHeight="1" x14ac:dyDescent="0.3">
      <c r="A34" s="17" t="s">
        <v>34</v>
      </c>
      <c r="B34" s="18">
        <f>[19]SCF!C30</f>
        <v>150000000</v>
      </c>
      <c r="C34" s="18">
        <f t="shared" ref="C34:C41" si="7">SUM(F34:K34)</f>
        <v>0</v>
      </c>
      <c r="D34" s="18">
        <f t="shared" si="1"/>
        <v>-150000000</v>
      </c>
      <c r="E34" s="19">
        <f t="shared" ref="E34:E41" si="8">IFERROR(+D34/B34*100,0)</f>
        <v>-100</v>
      </c>
      <c r="F34" s="18">
        <f>[20]SCF!D30</f>
        <v>0</v>
      </c>
      <c r="G34" s="18">
        <f>[21]SCF!D30</f>
        <v>0</v>
      </c>
      <c r="H34" s="18">
        <f>[22]SCF!D30</f>
        <v>0</v>
      </c>
      <c r="I34" s="18">
        <f>[23]SCF!D30</f>
        <v>0</v>
      </c>
      <c r="J34" s="18">
        <f>[24]SCF!D30</f>
        <v>0</v>
      </c>
      <c r="K34" s="18">
        <f>[19]SCF!D30</f>
        <v>0</v>
      </c>
    </row>
    <row r="35" spans="1:11" ht="15" customHeight="1" x14ac:dyDescent="0.3">
      <c r="A35" s="17" t="s">
        <v>35</v>
      </c>
      <c r="B35" s="18">
        <f>[19]SCF!C31</f>
        <v>0</v>
      </c>
      <c r="C35" s="18">
        <f t="shared" si="7"/>
        <v>0</v>
      </c>
      <c r="D35" s="18">
        <f t="shared" si="1"/>
        <v>0</v>
      </c>
      <c r="E35" s="19">
        <f t="shared" si="8"/>
        <v>0</v>
      </c>
      <c r="F35" s="18">
        <f>[20]SCF!D31</f>
        <v>0</v>
      </c>
      <c r="G35" s="18">
        <f>[21]SCF!D31</f>
        <v>0</v>
      </c>
      <c r="H35" s="18">
        <f>[22]SCF!D31</f>
        <v>0</v>
      </c>
      <c r="I35" s="18">
        <f>[23]SCF!D31</f>
        <v>0</v>
      </c>
      <c r="J35" s="18">
        <f>[24]SCF!D31</f>
        <v>0</v>
      </c>
      <c r="K35" s="18">
        <f>[19]SCF!D31</f>
        <v>0</v>
      </c>
    </row>
    <row r="36" spans="1:11" ht="20.399999999999999" customHeight="1" x14ac:dyDescent="0.3">
      <c r="A36" s="17" t="s">
        <v>36</v>
      </c>
      <c r="B36" s="18">
        <f>[19]SCF!C32</f>
        <v>0</v>
      </c>
      <c r="C36" s="18">
        <f t="shared" si="7"/>
        <v>0</v>
      </c>
      <c r="D36" s="18">
        <f t="shared" si="1"/>
        <v>0</v>
      </c>
      <c r="E36" s="19">
        <f t="shared" si="8"/>
        <v>0</v>
      </c>
      <c r="F36" s="18">
        <f>[20]SCF!D32</f>
        <v>0</v>
      </c>
      <c r="G36" s="18">
        <f>[21]SCF!D32</f>
        <v>0</v>
      </c>
      <c r="H36" s="18">
        <f>[22]SCF!D32</f>
        <v>0</v>
      </c>
      <c r="I36" s="18">
        <f>[23]SCF!D32</f>
        <v>0</v>
      </c>
      <c r="J36" s="18">
        <f>[24]SCF!D32</f>
        <v>0</v>
      </c>
      <c r="K36" s="18">
        <f>[19]SCF!D32</f>
        <v>0</v>
      </c>
    </row>
    <row r="37" spans="1:11" ht="15" customHeight="1" x14ac:dyDescent="0.3">
      <c r="A37" s="17" t="s">
        <v>37</v>
      </c>
      <c r="B37" s="18">
        <f>[19]SCF!C33</f>
        <v>0</v>
      </c>
      <c r="C37" s="18">
        <f t="shared" si="7"/>
        <v>0</v>
      </c>
      <c r="D37" s="18">
        <f t="shared" si="1"/>
        <v>0</v>
      </c>
      <c r="E37" s="19">
        <f t="shared" si="8"/>
        <v>0</v>
      </c>
      <c r="F37" s="18">
        <f>[20]SCF!D33</f>
        <v>0</v>
      </c>
      <c r="G37" s="18">
        <f>[21]SCF!D33</f>
        <v>0</v>
      </c>
      <c r="H37" s="18">
        <f>[22]SCF!D33</f>
        <v>0</v>
      </c>
      <c r="I37" s="18">
        <f>[23]SCF!D33</f>
        <v>0</v>
      </c>
      <c r="J37" s="18">
        <f>[24]SCF!D33</f>
        <v>0</v>
      </c>
      <c r="K37" s="18">
        <f>[19]SCF!D33</f>
        <v>0</v>
      </c>
    </row>
    <row r="38" spans="1:11" x14ac:dyDescent="0.3">
      <c r="A38" s="24" t="s">
        <v>38</v>
      </c>
      <c r="B38" s="18">
        <f>[19]SCF!C34</f>
        <v>27383811</v>
      </c>
      <c r="C38" s="18">
        <f t="shared" si="7"/>
        <v>0</v>
      </c>
      <c r="D38" s="18">
        <f t="shared" si="1"/>
        <v>-27383811</v>
      </c>
      <c r="E38" s="19">
        <f t="shared" si="8"/>
        <v>-100</v>
      </c>
      <c r="F38" s="18">
        <f>[20]SCF!D34</f>
        <v>0</v>
      </c>
      <c r="G38" s="18">
        <f>[21]SCF!D34</f>
        <v>0</v>
      </c>
      <c r="H38" s="18">
        <f>[22]SCF!D34</f>
        <v>0</v>
      </c>
      <c r="I38" s="18">
        <f>[23]SCF!D34</f>
        <v>0</v>
      </c>
      <c r="J38" s="18">
        <f>[24]SCF!D34</f>
        <v>0</v>
      </c>
      <c r="K38" s="18">
        <f>[19]SCF!D34</f>
        <v>0</v>
      </c>
    </row>
    <row r="39" spans="1:11" ht="15" customHeight="1" x14ac:dyDescent="0.3">
      <c r="A39" s="24" t="s">
        <v>39</v>
      </c>
      <c r="B39" s="18">
        <f>[19]SCF!C35</f>
        <v>0</v>
      </c>
      <c r="C39" s="18">
        <f t="shared" si="7"/>
        <v>0</v>
      </c>
      <c r="D39" s="18">
        <f t="shared" si="1"/>
        <v>0</v>
      </c>
      <c r="E39" s="19">
        <f t="shared" si="8"/>
        <v>0</v>
      </c>
      <c r="F39" s="18">
        <f>[20]SCF!D35</f>
        <v>0</v>
      </c>
      <c r="G39" s="18">
        <f>[21]SCF!D35</f>
        <v>0</v>
      </c>
      <c r="H39" s="18">
        <f>[22]SCF!D35</f>
        <v>0</v>
      </c>
      <c r="I39" s="18">
        <f>[23]SCF!D35</f>
        <v>0</v>
      </c>
      <c r="J39" s="18">
        <f>[24]SCF!D35</f>
        <v>0</v>
      </c>
      <c r="K39" s="18">
        <f>[19]SCF!D35</f>
        <v>0</v>
      </c>
    </row>
    <row r="40" spans="1:11" ht="15" customHeight="1" x14ac:dyDescent="0.3">
      <c r="A40" s="24" t="s">
        <v>40</v>
      </c>
      <c r="B40" s="18">
        <f>[19]SCF!C36</f>
        <v>0</v>
      </c>
      <c r="C40" s="18">
        <f t="shared" si="7"/>
        <v>0</v>
      </c>
      <c r="D40" s="18">
        <f t="shared" si="1"/>
        <v>0</v>
      </c>
      <c r="E40" s="19">
        <f t="shared" si="8"/>
        <v>0</v>
      </c>
      <c r="F40" s="18">
        <f>[20]SCF!D36</f>
        <v>0</v>
      </c>
      <c r="G40" s="18">
        <f>[21]SCF!D36</f>
        <v>0</v>
      </c>
      <c r="H40" s="18">
        <f>[22]SCF!D36</f>
        <v>0</v>
      </c>
      <c r="I40" s="18">
        <f>[23]SCF!D36</f>
        <v>0</v>
      </c>
      <c r="J40" s="18">
        <f>[24]SCF!D36</f>
        <v>0</v>
      </c>
      <c r="K40" s="18">
        <f>[19]SCF!D36</f>
        <v>0</v>
      </c>
    </row>
    <row r="41" spans="1:11" ht="15" customHeight="1" x14ac:dyDescent="0.3">
      <c r="A41" s="24" t="s">
        <v>41</v>
      </c>
      <c r="B41" s="18">
        <f>[19]SCF!C37</f>
        <v>0</v>
      </c>
      <c r="C41" s="18">
        <f t="shared" si="7"/>
        <v>0</v>
      </c>
      <c r="D41" s="18">
        <f t="shared" si="1"/>
        <v>0</v>
      </c>
      <c r="E41" s="19">
        <f t="shared" si="8"/>
        <v>0</v>
      </c>
      <c r="F41" s="18">
        <f>[20]SCF!D37</f>
        <v>0</v>
      </c>
      <c r="G41" s="18">
        <f>[21]SCF!D37</f>
        <v>0</v>
      </c>
      <c r="H41" s="18">
        <f>[22]SCF!D37</f>
        <v>0</v>
      </c>
      <c r="I41" s="18">
        <f>[23]SCF!D37</f>
        <v>0</v>
      </c>
      <c r="J41" s="18">
        <f>[24]SCF!D37</f>
        <v>0</v>
      </c>
      <c r="K41" s="18">
        <f>[19]SCF!D37</f>
        <v>0</v>
      </c>
    </row>
    <row r="42" spans="1:11" ht="15" customHeight="1" x14ac:dyDescent="0.3">
      <c r="A42" s="25" t="s">
        <v>42</v>
      </c>
      <c r="B42" s="26">
        <f>[19]SCF!C38</f>
        <v>3689598293.96</v>
      </c>
      <c r="C42" s="27">
        <f>+C16+C29+C33+C38+C39+C40+C41</f>
        <v>1470930492.1500001</v>
      </c>
      <c r="D42" s="27">
        <f t="shared" si="1"/>
        <v>-2218667801.8099999</v>
      </c>
      <c r="E42" s="28">
        <f t="shared" si="0"/>
        <v>-60.133044983299023</v>
      </c>
      <c r="F42" s="27">
        <f>[20]SCF!D38</f>
        <v>262666835.75999999</v>
      </c>
      <c r="G42" s="27">
        <f>[21]SCF!D38</f>
        <v>221423290.31999999</v>
      </c>
      <c r="H42" s="27">
        <f>[22]SCF!D38</f>
        <v>241304887.00999999</v>
      </c>
      <c r="I42" s="27">
        <f t="shared" ref="I42" si="9">I16+I29+I33+I38+I39+I40+I41</f>
        <v>203493703.88</v>
      </c>
      <c r="J42" s="27">
        <f>[24]SCF!D38</f>
        <v>273739969.13999999</v>
      </c>
      <c r="K42" s="27">
        <f>[19]SCF!D38</f>
        <v>268301806.03999999</v>
      </c>
    </row>
    <row r="43" spans="1:11" ht="18" customHeight="1" x14ac:dyDescent="0.3">
      <c r="A43" s="29" t="s">
        <v>15</v>
      </c>
      <c r="B43" s="3"/>
      <c r="C43" s="3"/>
      <c r="D43" s="3"/>
      <c r="E43" s="3"/>
    </row>
    <row r="44" spans="1:11" ht="15" customHeight="1" x14ac:dyDescent="0.3">
      <c r="A44" s="10" t="s">
        <v>43</v>
      </c>
      <c r="B44" s="11" t="s">
        <v>15</v>
      </c>
      <c r="C44" s="12" t="s">
        <v>15</v>
      </c>
      <c r="D44" s="11" t="s">
        <v>15</v>
      </c>
      <c r="E44" s="13" t="s">
        <v>15</v>
      </c>
      <c r="F44" s="12" t="s">
        <v>15</v>
      </c>
      <c r="G44" s="12" t="s">
        <v>15</v>
      </c>
      <c r="H44" s="12" t="s">
        <v>15</v>
      </c>
      <c r="I44" s="12" t="s">
        <v>15</v>
      </c>
      <c r="J44" s="12" t="s">
        <v>15</v>
      </c>
      <c r="K44" s="12" t="s">
        <v>15</v>
      </c>
    </row>
    <row r="45" spans="1:11" ht="15" customHeight="1" x14ac:dyDescent="0.3">
      <c r="A45" s="24" t="s">
        <v>44</v>
      </c>
      <c r="B45" s="18">
        <f>[19]SCF!C41</f>
        <v>1936424160</v>
      </c>
      <c r="C45" s="18">
        <f>SUM(F45:K45)</f>
        <v>928276003.69000006</v>
      </c>
      <c r="D45" s="18">
        <f>C45-B45</f>
        <v>-1008148156.3099999</v>
      </c>
      <c r="E45" s="19">
        <f>IFERROR(+D45/B45*100,0)</f>
        <v>-52.062362014219033</v>
      </c>
      <c r="F45" s="18">
        <f>[20]SCF!D41</f>
        <v>138193128.91</v>
      </c>
      <c r="G45" s="18">
        <f>[21]SCF!D41</f>
        <v>122966580.56</v>
      </c>
      <c r="H45" s="18">
        <f>[22]SCF!D41</f>
        <v>128044255.8</v>
      </c>
      <c r="I45" s="18">
        <f>[23]SCF!D41</f>
        <v>138395728.41</v>
      </c>
      <c r="J45" s="18">
        <f>[24]SCF!D41</f>
        <v>189032718.31999999</v>
      </c>
      <c r="K45" s="18">
        <f>[19]SCF!D41</f>
        <v>211643591.69</v>
      </c>
    </row>
    <row r="46" spans="1:11" ht="15" customHeight="1" x14ac:dyDescent="0.3">
      <c r="A46" s="14" t="s">
        <v>45</v>
      </c>
      <c r="B46" s="15">
        <f>[19]SCF!C42</f>
        <v>378214908.29000002</v>
      </c>
      <c r="C46" s="15">
        <f>SUM(C47:C61)</f>
        <v>137178087.18000004</v>
      </c>
      <c r="D46" s="15">
        <f t="shared" ref="D46:D61" si="10">+B46-C46</f>
        <v>241036821.10999998</v>
      </c>
      <c r="E46" s="16">
        <f t="shared" ref="E46" si="11">+D46/B46*100</f>
        <v>63.730121638986958</v>
      </c>
      <c r="F46" s="15">
        <f>[20]SCF!D42</f>
        <v>33359939.300000001</v>
      </c>
      <c r="G46" s="15">
        <f>[21]SCF!D42</f>
        <v>19476235.289999999</v>
      </c>
      <c r="H46" s="15">
        <f>[22]SCF!D42</f>
        <v>27676518.800000001</v>
      </c>
      <c r="I46" s="15">
        <f>[23]SCF!D42</f>
        <v>18800950.219999999</v>
      </c>
      <c r="J46" s="15">
        <f>[24]SCF!D42</f>
        <v>19157073.91</v>
      </c>
      <c r="K46" s="15">
        <f>[19]SCF!D42</f>
        <v>18707369.66</v>
      </c>
    </row>
    <row r="47" spans="1:11" ht="15" customHeight="1" x14ac:dyDescent="0.3">
      <c r="A47" s="17" t="s">
        <v>46</v>
      </c>
      <c r="B47" s="18">
        <f>[19]SCF!C43</f>
        <v>180094929</v>
      </c>
      <c r="C47" s="18">
        <f t="shared" ref="C47:C61" si="12">SUM(F47:K47)</f>
        <v>73505239.780000001</v>
      </c>
      <c r="D47" s="18">
        <f t="shared" si="10"/>
        <v>106589689.22</v>
      </c>
      <c r="E47" s="19">
        <f t="shared" ref="E47:E61" si="13">IFERROR(+D47/B47*100,0)</f>
        <v>59.185280680501563</v>
      </c>
      <c r="F47" s="18">
        <f>[20]SCF!D43</f>
        <v>11910763.4</v>
      </c>
      <c r="G47" s="18">
        <f>[21]SCF!D43</f>
        <v>10751054.16</v>
      </c>
      <c r="H47" s="18">
        <f>[22]SCF!D43</f>
        <v>16947548.879999999</v>
      </c>
      <c r="I47" s="18">
        <f>[23]SCF!D43</f>
        <v>11402909.84</v>
      </c>
      <c r="J47" s="18">
        <f>[24]SCF!D43</f>
        <v>11228457.630000001</v>
      </c>
      <c r="K47" s="18">
        <f>[19]SCF!D43</f>
        <v>11264505.869999999</v>
      </c>
    </row>
    <row r="48" spans="1:11" ht="15" customHeight="1" x14ac:dyDescent="0.3">
      <c r="A48" s="17" t="s">
        <v>47</v>
      </c>
      <c r="B48" s="18">
        <f>[19]SCF!C44</f>
        <v>15421064.09</v>
      </c>
      <c r="C48" s="18">
        <f t="shared" si="12"/>
        <v>7339342.3600000003</v>
      </c>
      <c r="D48" s="18">
        <f t="shared" si="10"/>
        <v>8081721.7299999995</v>
      </c>
      <c r="E48" s="19">
        <f t="shared" si="13"/>
        <v>52.40703029851683</v>
      </c>
      <c r="F48" s="18">
        <f>[20]SCF!D44</f>
        <v>1235586.32</v>
      </c>
      <c r="G48" s="18">
        <f>[21]SCF!D44</f>
        <v>1230933.72</v>
      </c>
      <c r="H48" s="18">
        <f>[22]SCF!D44</f>
        <v>1232255.8999999999</v>
      </c>
      <c r="I48" s="18">
        <f>[23]SCF!D44</f>
        <v>1222866.04</v>
      </c>
      <c r="J48" s="18">
        <f>[24]SCF!D44</f>
        <v>1205328</v>
      </c>
      <c r="K48" s="18">
        <f>[19]SCF!D44</f>
        <v>1212372.3799999999</v>
      </c>
    </row>
    <row r="49" spans="1:11" ht="15" customHeight="1" x14ac:dyDescent="0.3">
      <c r="A49" s="17" t="s">
        <v>48</v>
      </c>
      <c r="B49" s="18">
        <f>[19]SCF!C45</f>
        <v>35704810</v>
      </c>
      <c r="C49" s="18">
        <f t="shared" si="12"/>
        <v>16455113.820000002</v>
      </c>
      <c r="D49" s="18">
        <f t="shared" si="10"/>
        <v>19249696.18</v>
      </c>
      <c r="E49" s="19">
        <f t="shared" si="13"/>
        <v>53.913453621514861</v>
      </c>
      <c r="F49" s="18">
        <f>[20]SCF!D45</f>
        <v>11428838.9</v>
      </c>
      <c r="G49" s="18">
        <f>[21]SCF!D45</f>
        <v>1452943.47</v>
      </c>
      <c r="H49" s="18">
        <f>[22]SCF!D45</f>
        <v>812940.05</v>
      </c>
      <c r="I49" s="18">
        <f>[23]SCF!D45</f>
        <v>878640.08</v>
      </c>
      <c r="J49" s="18">
        <f>[24]SCF!D45</f>
        <v>1180284.83</v>
      </c>
      <c r="K49" s="18">
        <f>[19]SCF!D45</f>
        <v>701466.49</v>
      </c>
    </row>
    <row r="50" spans="1:11" ht="15" customHeight="1" x14ac:dyDescent="0.3">
      <c r="A50" s="17" t="s">
        <v>49</v>
      </c>
      <c r="B50" s="18">
        <f>[19]SCF!C46</f>
        <v>4220533</v>
      </c>
      <c r="C50" s="18">
        <f t="shared" si="12"/>
        <v>1378663.59</v>
      </c>
      <c r="D50" s="18">
        <f t="shared" si="10"/>
        <v>2841869.41</v>
      </c>
      <c r="E50" s="19">
        <f t="shared" si="13"/>
        <v>67.334372459592203</v>
      </c>
      <c r="F50" s="18">
        <f>[20]SCF!D46</f>
        <v>170246.44</v>
      </c>
      <c r="G50" s="18">
        <f>[21]SCF!D46</f>
        <v>307447.46000000002</v>
      </c>
      <c r="H50" s="18">
        <f>[22]SCF!D46</f>
        <v>234839.03</v>
      </c>
      <c r="I50" s="18">
        <f>[23]SCF!D46</f>
        <v>224472.35</v>
      </c>
      <c r="J50" s="18">
        <f>[24]SCF!D46</f>
        <v>215249.51</v>
      </c>
      <c r="K50" s="18">
        <f>[19]SCF!D46</f>
        <v>226408.8</v>
      </c>
    </row>
    <row r="51" spans="1:11" ht="15" customHeight="1" x14ac:dyDescent="0.3">
      <c r="A51" s="17" t="s">
        <v>50</v>
      </c>
      <c r="B51" s="18">
        <f>[19]SCF!C47</f>
        <v>6058166.0300000003</v>
      </c>
      <c r="C51" s="18">
        <f t="shared" si="12"/>
        <v>975587.86</v>
      </c>
      <c r="D51" s="18">
        <f t="shared" si="10"/>
        <v>5082578.17</v>
      </c>
      <c r="E51" s="19">
        <f t="shared" si="13"/>
        <v>83.896316885854645</v>
      </c>
      <c r="F51" s="18">
        <f>[20]SCF!D47</f>
        <v>55262.59</v>
      </c>
      <c r="G51" s="18">
        <f>[21]SCF!D47</f>
        <v>198940.51</v>
      </c>
      <c r="H51" s="18">
        <f>[22]SCF!D47</f>
        <v>369139.43</v>
      </c>
      <c r="I51" s="18">
        <f>[23]SCF!D47</f>
        <v>163368.60999999999</v>
      </c>
      <c r="J51" s="18">
        <f>[24]SCF!D47</f>
        <v>15004.57</v>
      </c>
      <c r="K51" s="18">
        <f>[19]SCF!D47</f>
        <v>173872.15</v>
      </c>
    </row>
    <row r="52" spans="1:11" x14ac:dyDescent="0.3">
      <c r="A52" s="17" t="s">
        <v>51</v>
      </c>
      <c r="B52" s="18">
        <f>[19]SCF!C48</f>
        <v>3754550</v>
      </c>
      <c r="C52" s="18">
        <f t="shared" si="12"/>
        <v>1569349.98</v>
      </c>
      <c r="D52" s="18">
        <f t="shared" si="10"/>
        <v>2185200.02</v>
      </c>
      <c r="E52" s="19">
        <f t="shared" si="13"/>
        <v>58.201382855468694</v>
      </c>
      <c r="F52" s="18">
        <f>[20]SCF!D48</f>
        <v>82525</v>
      </c>
      <c r="G52" s="18">
        <f>[21]SCF!D48</f>
        <v>160669</v>
      </c>
      <c r="H52" s="18">
        <f>[22]SCF!D48</f>
        <v>444171.2</v>
      </c>
      <c r="I52" s="18">
        <f>[23]SCF!D48</f>
        <v>76852.53</v>
      </c>
      <c r="J52" s="18">
        <f>[24]SCF!D48</f>
        <v>378940.25</v>
      </c>
      <c r="K52" s="18">
        <f>[19]SCF!D48</f>
        <v>426192</v>
      </c>
    </row>
    <row r="53" spans="1:11" ht="15" customHeight="1" x14ac:dyDescent="0.3">
      <c r="A53" s="17" t="s">
        <v>52</v>
      </c>
      <c r="B53" s="18">
        <f>[19]SCF!C49</f>
        <v>18000000</v>
      </c>
      <c r="C53" s="18">
        <f t="shared" si="12"/>
        <v>7376818.2400000012</v>
      </c>
      <c r="D53" s="18">
        <f t="shared" si="10"/>
        <v>10623181.759999998</v>
      </c>
      <c r="E53" s="19">
        <f t="shared" si="13"/>
        <v>59.017676444444433</v>
      </c>
      <c r="F53" s="18">
        <f>[20]SCF!D49</f>
        <v>1254617.77</v>
      </c>
      <c r="G53" s="18">
        <f>[21]SCF!D49</f>
        <v>1160643.8</v>
      </c>
      <c r="H53" s="18">
        <f>[22]SCF!D49</f>
        <v>1190468.27</v>
      </c>
      <c r="I53" s="18">
        <f>[23]SCF!D49</f>
        <v>1150111.8799999999</v>
      </c>
      <c r="J53" s="18">
        <f>[24]SCF!D49</f>
        <v>1525750.7</v>
      </c>
      <c r="K53" s="18">
        <f>[19]SCF!D49</f>
        <v>1095225.82</v>
      </c>
    </row>
    <row r="54" spans="1:11" ht="15" customHeight="1" x14ac:dyDescent="0.3">
      <c r="A54" s="17" t="s">
        <v>53</v>
      </c>
      <c r="B54" s="18">
        <f>[19]SCF!C50</f>
        <v>22363293.219999999</v>
      </c>
      <c r="C54" s="18">
        <f t="shared" si="12"/>
        <v>7053274.4500000002</v>
      </c>
      <c r="D54" s="18">
        <f t="shared" si="10"/>
        <v>15310018.77</v>
      </c>
      <c r="E54" s="19">
        <f t="shared" si="13"/>
        <v>68.460483969811321</v>
      </c>
      <c r="F54" s="18">
        <f>[20]SCF!D50</f>
        <v>1363321.84</v>
      </c>
      <c r="G54" s="18">
        <f>[21]SCF!D50</f>
        <v>975968.14</v>
      </c>
      <c r="H54" s="18">
        <f>[22]SCF!D50</f>
        <v>1829793.64</v>
      </c>
      <c r="I54" s="18">
        <f>[23]SCF!D50</f>
        <v>760811.66</v>
      </c>
      <c r="J54" s="18">
        <f>[24]SCF!D50</f>
        <v>951888.62</v>
      </c>
      <c r="K54" s="18">
        <f>[19]SCF!D50</f>
        <v>1171490.55</v>
      </c>
    </row>
    <row r="55" spans="1:11" ht="15" customHeight="1" x14ac:dyDescent="0.3">
      <c r="A55" s="17" t="s">
        <v>54</v>
      </c>
      <c r="B55" s="18">
        <f>[19]SCF!C51</f>
        <v>5160000</v>
      </c>
      <c r="C55" s="18">
        <f t="shared" si="12"/>
        <v>1521505</v>
      </c>
      <c r="D55" s="18">
        <f t="shared" si="10"/>
        <v>3638495</v>
      </c>
      <c r="E55" s="19">
        <f t="shared" si="13"/>
        <v>70.513468992248065</v>
      </c>
      <c r="F55" s="18">
        <f>[20]SCF!D51</f>
        <v>312573</v>
      </c>
      <c r="G55" s="18">
        <f>[21]SCF!D51</f>
        <v>329000</v>
      </c>
      <c r="H55" s="18">
        <f>[22]SCF!D51</f>
        <v>324300</v>
      </c>
      <c r="I55" s="18">
        <f>[23]SCF!D51</f>
        <v>177000</v>
      </c>
      <c r="J55" s="18">
        <f>[24]SCF!D51</f>
        <v>375700</v>
      </c>
      <c r="K55" s="18">
        <f>[19]SCF!D51</f>
        <v>2932</v>
      </c>
    </row>
    <row r="56" spans="1:11" ht="15" customHeight="1" x14ac:dyDescent="0.3">
      <c r="A56" s="17" t="s">
        <v>55</v>
      </c>
      <c r="B56" s="18">
        <f>[19]SCF!C52</f>
        <v>4356300</v>
      </c>
      <c r="C56" s="18">
        <f t="shared" si="12"/>
        <v>1838250</v>
      </c>
      <c r="D56" s="18">
        <f t="shared" si="10"/>
        <v>2518050</v>
      </c>
      <c r="E56" s="19">
        <f t="shared" si="13"/>
        <v>57.802492941257491</v>
      </c>
      <c r="F56" s="18">
        <f>[20]SCF!D52</f>
        <v>333375</v>
      </c>
      <c r="G56" s="18">
        <f>[21]SCF!D52</f>
        <v>307050</v>
      </c>
      <c r="H56" s="18">
        <f>[22]SCF!D52</f>
        <v>267375</v>
      </c>
      <c r="I56" s="18">
        <f>[23]SCF!D52</f>
        <v>333375</v>
      </c>
      <c r="J56" s="18">
        <f>[24]SCF!D52</f>
        <v>326375</v>
      </c>
      <c r="K56" s="18">
        <f>[19]SCF!D52</f>
        <v>270700</v>
      </c>
    </row>
    <row r="57" spans="1:11" ht="15" customHeight="1" x14ac:dyDescent="0.3">
      <c r="A57" s="17" t="s">
        <v>56</v>
      </c>
      <c r="B57" s="18">
        <f>[19]SCF!C53</f>
        <v>17690919.600000001</v>
      </c>
      <c r="C57" s="18">
        <f t="shared" si="12"/>
        <v>6624652.2800000003</v>
      </c>
      <c r="D57" s="18">
        <f t="shared" si="10"/>
        <v>11066267.32</v>
      </c>
      <c r="E57" s="19">
        <f t="shared" si="13"/>
        <v>62.553375235507822</v>
      </c>
      <c r="F57" s="18">
        <f>[20]SCF!D53</f>
        <v>1154522.03</v>
      </c>
      <c r="G57" s="18">
        <f>[21]SCF!D53</f>
        <v>603572.61</v>
      </c>
      <c r="H57" s="18">
        <f>[22]SCF!D53</f>
        <v>1597597.94</v>
      </c>
      <c r="I57" s="18">
        <f>[23]SCF!D53</f>
        <v>1179977.01</v>
      </c>
      <c r="J57" s="18">
        <f>[24]SCF!D53</f>
        <v>762556.61</v>
      </c>
      <c r="K57" s="18">
        <f>[19]SCF!D53</f>
        <v>1326426.08</v>
      </c>
    </row>
    <row r="58" spans="1:11" ht="15" customHeight="1" x14ac:dyDescent="0.3">
      <c r="A58" s="17" t="s">
        <v>57</v>
      </c>
      <c r="B58" s="18">
        <f>[19]SCF!C54</f>
        <v>3224300</v>
      </c>
      <c r="C58" s="18">
        <f t="shared" si="12"/>
        <v>1252882</v>
      </c>
      <c r="D58" s="18">
        <f t="shared" si="10"/>
        <v>1971418</v>
      </c>
      <c r="E58" s="19">
        <f t="shared" si="13"/>
        <v>61.142511552895208</v>
      </c>
      <c r="F58" s="18">
        <f>[20]SCF!D54</f>
        <v>90000</v>
      </c>
      <c r="G58" s="18">
        <f>[21]SCF!D54</f>
        <v>164060</v>
      </c>
      <c r="H58" s="18">
        <f>[22]SCF!D54</f>
        <v>388250</v>
      </c>
      <c r="I58" s="18">
        <f>[23]SCF!D54</f>
        <v>38000</v>
      </c>
      <c r="J58" s="18">
        <f>[24]SCF!D54</f>
        <v>330800</v>
      </c>
      <c r="K58" s="18">
        <f>[19]SCF!D54</f>
        <v>241772</v>
      </c>
    </row>
    <row r="59" spans="1:11" ht="15" customHeight="1" x14ac:dyDescent="0.3">
      <c r="A59" s="17" t="s">
        <v>58</v>
      </c>
      <c r="B59" s="18">
        <f>[19]SCF!C55</f>
        <v>52311300</v>
      </c>
      <c r="C59" s="18">
        <f t="shared" si="12"/>
        <v>4867896.79</v>
      </c>
      <c r="D59" s="18">
        <f t="shared" si="10"/>
        <v>47443403.210000001</v>
      </c>
      <c r="E59" s="19">
        <f t="shared" si="13"/>
        <v>90.694368539875697</v>
      </c>
      <c r="F59" s="18">
        <f>[20]SCF!D55</f>
        <v>1893328.05</v>
      </c>
      <c r="G59" s="18">
        <f>[21]SCF!D55</f>
        <v>587146.75</v>
      </c>
      <c r="H59" s="18">
        <f>[22]SCF!D55</f>
        <v>1787745.87</v>
      </c>
      <c r="I59" s="18">
        <f>[23]SCF!D55</f>
        <v>72859.08</v>
      </c>
      <c r="J59" s="18">
        <f>[24]SCF!D55</f>
        <v>278601</v>
      </c>
      <c r="K59" s="18">
        <f>[19]SCF!D55</f>
        <v>248216.04</v>
      </c>
    </row>
    <row r="60" spans="1:11" ht="15" customHeight="1" x14ac:dyDescent="0.3">
      <c r="A60" s="17" t="s">
        <v>59</v>
      </c>
      <c r="B60" s="18">
        <f>[19]SCF!C56</f>
        <v>7241743.3499999996</v>
      </c>
      <c r="C60" s="18">
        <f t="shared" si="12"/>
        <v>4569328.22</v>
      </c>
      <c r="D60" s="18">
        <f t="shared" si="10"/>
        <v>2672415.13</v>
      </c>
      <c r="E60" s="19">
        <f t="shared" si="13"/>
        <v>36.902925177540297</v>
      </c>
      <c r="F60" s="18">
        <f>[20]SCF!D56</f>
        <v>1912726.22</v>
      </c>
      <c r="G60" s="18">
        <f>[21]SCF!D56</f>
        <v>1154363.57</v>
      </c>
      <c r="H60" s="18">
        <f>[22]SCF!D56</f>
        <v>57604.44</v>
      </c>
      <c r="I60" s="18">
        <f>[23]SCF!D56</f>
        <v>938170.34</v>
      </c>
      <c r="J60" s="18">
        <f>[24]SCF!D56</f>
        <v>232304.97</v>
      </c>
      <c r="K60" s="18">
        <f>[19]SCF!D56</f>
        <v>274158.68</v>
      </c>
    </row>
    <row r="61" spans="1:11" ht="15" customHeight="1" x14ac:dyDescent="0.3">
      <c r="A61" s="17" t="s">
        <v>60</v>
      </c>
      <c r="B61" s="18">
        <f>[19]SCF!C57</f>
        <v>2613000</v>
      </c>
      <c r="C61" s="18">
        <f t="shared" si="12"/>
        <v>850182.81</v>
      </c>
      <c r="D61" s="18">
        <f t="shared" si="10"/>
        <v>1762817.19</v>
      </c>
      <c r="E61" s="19">
        <f t="shared" si="13"/>
        <v>67.463344431687716</v>
      </c>
      <c r="F61" s="18">
        <f>[20]SCF!D57</f>
        <v>162252.74</v>
      </c>
      <c r="G61" s="18">
        <f>[21]SCF!D57</f>
        <v>92442.1</v>
      </c>
      <c r="H61" s="18">
        <f>[22]SCF!D57</f>
        <v>192489.15</v>
      </c>
      <c r="I61" s="18">
        <f>[23]SCF!D57</f>
        <v>181535.8</v>
      </c>
      <c r="J61" s="18">
        <f>[24]SCF!D57</f>
        <v>149832.22</v>
      </c>
      <c r="K61" s="18">
        <f>[19]SCF!D57</f>
        <v>71630.8</v>
      </c>
    </row>
    <row r="62" spans="1:11" ht="15" customHeight="1" x14ac:dyDescent="0.3">
      <c r="A62" s="10" t="s">
        <v>61</v>
      </c>
      <c r="B62" s="11" t="s">
        <v>15</v>
      </c>
      <c r="C62" s="18"/>
      <c r="D62" s="11" t="s">
        <v>15</v>
      </c>
      <c r="E62" s="13" t="s">
        <v>15</v>
      </c>
      <c r="F62" s="12"/>
      <c r="G62" s="12"/>
      <c r="H62" s="12"/>
      <c r="I62" s="12"/>
      <c r="J62" s="12"/>
      <c r="K62" s="12"/>
    </row>
    <row r="63" spans="1:11" x14ac:dyDescent="0.3">
      <c r="A63" s="24" t="s">
        <v>62</v>
      </c>
      <c r="B63" s="18">
        <f>[19]SCF!C60</f>
        <v>97011489.819999993</v>
      </c>
      <c r="C63" s="18">
        <f t="shared" ref="C63:C64" si="14">SUM(F63:K63)</f>
        <v>29673369.010000002</v>
      </c>
      <c r="D63" s="18">
        <f t="shared" ref="D63:D67" si="15">C63-B63</f>
        <v>-67338120.809999987</v>
      </c>
      <c r="E63" s="19">
        <f t="shared" ref="E63:E67" si="16">IFERROR(+D63/B63*100,0)</f>
        <v>-69.412521068321425</v>
      </c>
      <c r="F63" s="18">
        <f>[20]SCF!D60</f>
        <v>2786585</v>
      </c>
      <c r="G63" s="18">
        <f>[21]SCF!D60</f>
        <v>2786585</v>
      </c>
      <c r="H63" s="18">
        <f>[22]SCF!D60</f>
        <v>9262622.2400000002</v>
      </c>
      <c r="I63" s="18">
        <f>[23]SCF!D60</f>
        <v>2786585</v>
      </c>
      <c r="J63" s="18">
        <f>[24]SCF!D60</f>
        <v>2786585</v>
      </c>
      <c r="K63" s="18">
        <f>[19]SCF!D60</f>
        <v>9264406.7699999996</v>
      </c>
    </row>
    <row r="64" spans="1:11" x14ac:dyDescent="0.3">
      <c r="A64" s="24" t="s">
        <v>63</v>
      </c>
      <c r="B64" s="18">
        <f>[19]SCF!C61</f>
        <v>0</v>
      </c>
      <c r="C64" s="18">
        <f t="shared" si="14"/>
        <v>0</v>
      </c>
      <c r="D64" s="18">
        <f t="shared" si="15"/>
        <v>0</v>
      </c>
      <c r="E64" s="19">
        <f t="shared" si="16"/>
        <v>0</v>
      </c>
      <c r="F64" s="18">
        <f>[20]SCF!D61</f>
        <v>0</v>
      </c>
      <c r="G64" s="18">
        <f>[21]SCF!D61</f>
        <v>0</v>
      </c>
      <c r="H64" s="18">
        <f>[22]SCF!D61</f>
        <v>0</v>
      </c>
      <c r="I64" s="18">
        <f>[23]SCF!D61</f>
        <v>0</v>
      </c>
      <c r="J64" s="18">
        <f>[24]SCF!D61</f>
        <v>0</v>
      </c>
      <c r="K64" s="18">
        <f>[19]SCF!D61</f>
        <v>0</v>
      </c>
    </row>
    <row r="65" spans="1:11" ht="15" customHeight="1" x14ac:dyDescent="0.3">
      <c r="A65" s="24" t="s">
        <v>64</v>
      </c>
      <c r="B65" s="18">
        <f>[19]SCF!C62</f>
        <v>0</v>
      </c>
      <c r="C65" s="18">
        <f>SUM(F65:K65)</f>
        <v>0</v>
      </c>
      <c r="D65" s="18">
        <f t="shared" si="15"/>
        <v>0</v>
      </c>
      <c r="E65" s="19">
        <f t="shared" si="16"/>
        <v>0</v>
      </c>
      <c r="F65" s="18">
        <f>[20]SCF!D62</f>
        <v>0</v>
      </c>
      <c r="G65" s="18">
        <f>[21]SCF!D62</f>
        <v>0</v>
      </c>
      <c r="H65" s="18">
        <f>[22]SCF!D62</f>
        <v>0</v>
      </c>
      <c r="I65" s="18">
        <f>[23]SCF!D62</f>
        <v>0</v>
      </c>
      <c r="J65" s="18">
        <f>[24]SCF!D62</f>
        <v>0</v>
      </c>
      <c r="K65" s="18">
        <f>[19]SCF!D62</f>
        <v>0</v>
      </c>
    </row>
    <row r="66" spans="1:11" ht="15" customHeight="1" x14ac:dyDescent="0.3">
      <c r="A66" s="24" t="s">
        <v>65</v>
      </c>
      <c r="B66" s="18">
        <f>[19]SCF!C63</f>
        <v>0</v>
      </c>
      <c r="C66" s="18">
        <f t="shared" ref="C66:C67" si="17">SUM(F66:K66)</f>
        <v>0</v>
      </c>
      <c r="D66" s="18">
        <f t="shared" si="15"/>
        <v>0</v>
      </c>
      <c r="E66" s="19">
        <f t="shared" si="16"/>
        <v>0</v>
      </c>
      <c r="F66" s="18">
        <f>[20]SCF!D63</f>
        <v>0</v>
      </c>
      <c r="G66" s="18">
        <f>[21]SCF!D63</f>
        <v>0</v>
      </c>
      <c r="H66" s="18">
        <f>[22]SCF!D63</f>
        <v>0</v>
      </c>
      <c r="I66" s="18">
        <f>[23]SCF!D63</f>
        <v>0</v>
      </c>
      <c r="J66" s="18">
        <f>[24]SCF!D63</f>
        <v>0</v>
      </c>
      <c r="K66" s="18">
        <f>[19]SCF!D63</f>
        <v>0</v>
      </c>
    </row>
    <row r="67" spans="1:11" ht="15" customHeight="1" x14ac:dyDescent="0.3">
      <c r="A67" s="24" t="s">
        <v>66</v>
      </c>
      <c r="B67" s="18">
        <f>[19]SCF!C64</f>
        <v>0</v>
      </c>
      <c r="C67" s="18">
        <f t="shared" si="17"/>
        <v>21733088.959999997</v>
      </c>
      <c r="D67" s="18">
        <f t="shared" si="15"/>
        <v>21733088.959999997</v>
      </c>
      <c r="E67" s="19">
        <f t="shared" si="16"/>
        <v>0</v>
      </c>
      <c r="F67" s="18">
        <f>[20]SCF!D64</f>
        <v>635794.68999999994</v>
      </c>
      <c r="G67" s="18">
        <f>[21]SCF!D64</f>
        <v>916177.67</v>
      </c>
      <c r="H67" s="18">
        <f>[22]SCF!D64</f>
        <v>3005834.49</v>
      </c>
      <c r="I67" s="18">
        <f>[23]SCF!D64</f>
        <v>8191619.6799999997</v>
      </c>
      <c r="J67" s="18">
        <f>[24]SCF!D64</f>
        <v>7185128.46</v>
      </c>
      <c r="K67" s="18">
        <f>[19]SCF!D64</f>
        <v>1798533.97</v>
      </c>
    </row>
    <row r="68" spans="1:11" ht="15" customHeight="1" x14ac:dyDescent="0.3">
      <c r="A68" s="30" t="s">
        <v>67</v>
      </c>
      <c r="B68" s="15">
        <f>+B63+B64+B65+B66+B67</f>
        <v>97011489.819999993</v>
      </c>
      <c r="C68" s="31">
        <f>+C63+C64+C65+C66+C67</f>
        <v>51406457.969999999</v>
      </c>
      <c r="D68" s="31">
        <f t="shared" ref="D68" si="18">+C68-B68</f>
        <v>-45605031.849999994</v>
      </c>
      <c r="E68" s="32">
        <f t="shared" ref="E68" si="19">+D68/B68*100</f>
        <v>-47.009928344176416</v>
      </c>
      <c r="F68" s="31">
        <f t="shared" ref="F68:K68" si="20">+F63+F64+F65+F66+F67</f>
        <v>3422379.69</v>
      </c>
      <c r="G68" s="31">
        <f>[21]SCF!D65</f>
        <v>3702762.67</v>
      </c>
      <c r="H68" s="31">
        <f t="shared" si="20"/>
        <v>12268456.73</v>
      </c>
      <c r="I68" s="31">
        <f t="shared" si="20"/>
        <v>10978204.68</v>
      </c>
      <c r="J68" s="31">
        <f t="shared" si="20"/>
        <v>9971713.4600000009</v>
      </c>
      <c r="K68" s="31">
        <f t="shared" si="20"/>
        <v>11062940.74</v>
      </c>
    </row>
    <row r="69" spans="1:11" ht="15" customHeight="1" x14ac:dyDescent="0.3">
      <c r="A69" s="10" t="s">
        <v>68</v>
      </c>
      <c r="B69" s="11" t="s">
        <v>15</v>
      </c>
      <c r="C69" s="12" t="s">
        <v>15</v>
      </c>
      <c r="D69" s="11" t="s">
        <v>15</v>
      </c>
      <c r="E69" s="13" t="s">
        <v>15</v>
      </c>
      <c r="F69" s="12" t="s">
        <v>15</v>
      </c>
      <c r="G69" s="12" t="s">
        <v>15</v>
      </c>
      <c r="H69" s="12" t="s">
        <v>15</v>
      </c>
      <c r="I69" s="12" t="s">
        <v>15</v>
      </c>
      <c r="J69" s="12" t="s">
        <v>15</v>
      </c>
      <c r="K69" s="12" t="s">
        <v>15</v>
      </c>
    </row>
    <row r="70" spans="1:11" ht="15" customHeight="1" x14ac:dyDescent="0.3">
      <c r="A70" s="14" t="s">
        <v>69</v>
      </c>
      <c r="B70" s="15">
        <f>[19]SCF!C67</f>
        <v>71402556.489999995</v>
      </c>
      <c r="C70" s="15">
        <f>SUM(C71:C76)</f>
        <v>33774780.670000002</v>
      </c>
      <c r="D70" s="15">
        <f t="shared" ref="D70:D82" si="21">+C70-B70</f>
        <v>-37627775.819999993</v>
      </c>
      <c r="E70" s="16">
        <f t="shared" ref="E70:E82" si="22">+D70/B70*100</f>
        <v>-52.698079270130613</v>
      </c>
      <c r="F70" s="15">
        <f>[20]SCF!D67</f>
        <v>5200545.43</v>
      </c>
      <c r="G70" s="15">
        <f>[21]SCF!D67</f>
        <v>5748328.4100000001</v>
      </c>
      <c r="H70" s="15">
        <f>[22]SCF!D67</f>
        <v>5126220.3</v>
      </c>
      <c r="I70" s="15">
        <f>[23]SCF!D67</f>
        <v>5723822.8499999996</v>
      </c>
      <c r="J70" s="15">
        <f>[24]SCF!D67</f>
        <v>4714641.3499999996</v>
      </c>
      <c r="K70" s="15">
        <f>[19]SCF!D67</f>
        <v>7261222.3300000001</v>
      </c>
    </row>
    <row r="71" spans="1:11" ht="15" customHeight="1" x14ac:dyDescent="0.3">
      <c r="A71" s="17" t="s">
        <v>20</v>
      </c>
      <c r="B71" s="18">
        <f>[19]SCF!C68</f>
        <v>57647934.789999999</v>
      </c>
      <c r="C71" s="18">
        <f t="shared" ref="C71:C81" si="23">SUM(F71:K71)</f>
        <v>27262908.059999999</v>
      </c>
      <c r="D71" s="18">
        <f t="shared" si="21"/>
        <v>-30385026.73</v>
      </c>
      <c r="E71" s="19">
        <f t="shared" ref="E71:E81" si="24">IFERROR(+D71/B71*100,0)</f>
        <v>-52.707918923178475</v>
      </c>
      <c r="F71" s="18">
        <f>[20]SCF!D68</f>
        <v>4514328.79</v>
      </c>
      <c r="G71" s="18">
        <f>[21]SCF!D68</f>
        <v>4514328.79</v>
      </c>
      <c r="H71" s="18">
        <f>[22]SCF!D68</f>
        <v>4101129.02</v>
      </c>
      <c r="I71" s="18">
        <f>[23]SCF!D68</f>
        <v>4572626.5199999996</v>
      </c>
      <c r="J71" s="18">
        <f>[24]SCF!D68</f>
        <v>3770814.24</v>
      </c>
      <c r="K71" s="18">
        <f>[19]SCF!D68</f>
        <v>5789680.7000000002</v>
      </c>
    </row>
    <row r="72" spans="1:11" ht="15" customHeight="1" x14ac:dyDescent="0.3">
      <c r="A72" s="17" t="s">
        <v>21</v>
      </c>
      <c r="B72" s="18">
        <f>[19]SCF!C69</f>
        <v>534224.30000000005</v>
      </c>
      <c r="C72" s="18">
        <f t="shared" si="23"/>
        <v>470253.76000000007</v>
      </c>
      <c r="D72" s="18">
        <f t="shared" si="21"/>
        <v>-63970.539999999979</v>
      </c>
      <c r="E72" s="19">
        <f t="shared" si="24"/>
        <v>-11.974472145875801</v>
      </c>
      <c r="F72" s="18">
        <f>[20]SCF!D69</f>
        <v>147945.69</v>
      </c>
      <c r="G72" s="18">
        <f>[21]SCF!D69</f>
        <v>147945.69</v>
      </c>
      <c r="H72" s="18">
        <f>[22]SCF!D69</f>
        <v>39006.199999999997</v>
      </c>
      <c r="I72" s="18">
        <f>[23]SCF!D69</f>
        <v>43947.89</v>
      </c>
      <c r="J72" s="18">
        <f>[24]SCF!D69</f>
        <v>35981.47</v>
      </c>
      <c r="K72" s="18">
        <f>[19]SCF!D69</f>
        <v>55426.82</v>
      </c>
    </row>
    <row r="73" spans="1:11" ht="15" customHeight="1" x14ac:dyDescent="0.3">
      <c r="A73" s="17" t="s">
        <v>22</v>
      </c>
      <c r="B73" s="18">
        <f>[19]SCF!C70</f>
        <v>0</v>
      </c>
      <c r="C73" s="18">
        <f t="shared" si="23"/>
        <v>0</v>
      </c>
      <c r="D73" s="18">
        <f t="shared" si="21"/>
        <v>0</v>
      </c>
      <c r="E73" s="19">
        <f t="shared" si="24"/>
        <v>0</v>
      </c>
      <c r="F73" s="18">
        <f>[20]SCF!D70</f>
        <v>0</v>
      </c>
      <c r="G73" s="18">
        <f>[21]SCF!D70</f>
        <v>0</v>
      </c>
      <c r="H73" s="18">
        <f>[22]SCF!D70</f>
        <v>0</v>
      </c>
      <c r="I73" s="18">
        <f>[23]SCF!D70</f>
        <v>0</v>
      </c>
      <c r="J73" s="18">
        <f>[24]SCF!D70</f>
        <v>0</v>
      </c>
      <c r="K73" s="18">
        <f>[19]SCF!D70</f>
        <v>0</v>
      </c>
    </row>
    <row r="74" spans="1:11" ht="15" customHeight="1" x14ac:dyDescent="0.3">
      <c r="A74" s="17" t="s">
        <v>70</v>
      </c>
      <c r="B74" s="18">
        <f>[19]SCF!C71</f>
        <v>334423.53999999998</v>
      </c>
      <c r="C74" s="18">
        <f t="shared" si="23"/>
        <v>36468.76</v>
      </c>
      <c r="D74" s="18">
        <f t="shared" si="21"/>
        <v>-297954.77999999997</v>
      </c>
      <c r="E74" s="19">
        <f t="shared" si="24"/>
        <v>-89.09503798685941</v>
      </c>
      <c r="F74" s="18">
        <f>[20]SCF!D71</f>
        <v>816.61</v>
      </c>
      <c r="G74" s="18">
        <f>[21]SCF!D71</f>
        <v>816.61</v>
      </c>
      <c r="H74" s="18">
        <f>[22]SCF!D71</f>
        <v>4585.25</v>
      </c>
      <c r="I74" s="18">
        <f>[23]SCF!D71</f>
        <v>1234.33</v>
      </c>
      <c r="J74" s="18">
        <f>[24]SCF!D71</f>
        <v>2468.69</v>
      </c>
      <c r="K74" s="18">
        <f>[19]SCF!D71</f>
        <v>26547.27</v>
      </c>
    </row>
    <row r="75" spans="1:11" ht="15" customHeight="1" x14ac:dyDescent="0.3">
      <c r="A75" s="17" t="s">
        <v>24</v>
      </c>
      <c r="B75" s="18">
        <f>[19]SCF!C72</f>
        <v>12885973.859999999</v>
      </c>
      <c r="C75" s="18">
        <f t="shared" si="23"/>
        <v>6005150.0900000008</v>
      </c>
      <c r="D75" s="18">
        <f t="shared" si="21"/>
        <v>-6880823.7699999986</v>
      </c>
      <c r="E75" s="19">
        <f t="shared" si="24"/>
        <v>-53.397778427590247</v>
      </c>
      <c r="F75" s="18">
        <f>[20]SCF!D72</f>
        <v>537454.34</v>
      </c>
      <c r="G75" s="18">
        <f>[21]SCF!D72</f>
        <v>1085237.32</v>
      </c>
      <c r="H75" s="18">
        <f>[22]SCF!D72</f>
        <v>981499.83</v>
      </c>
      <c r="I75" s="18">
        <f>[23]SCF!D72</f>
        <v>1106014.1100000001</v>
      </c>
      <c r="J75" s="18">
        <f>[24]SCF!D72</f>
        <v>905376.95</v>
      </c>
      <c r="K75" s="18">
        <f>[19]SCF!D72</f>
        <v>1389567.54</v>
      </c>
    </row>
    <row r="76" spans="1:11" ht="15" customHeight="1" x14ac:dyDescent="0.3">
      <c r="A76" s="17" t="s">
        <v>25</v>
      </c>
      <c r="B76" s="18">
        <f>[19]SCF!C73</f>
        <v>0</v>
      </c>
      <c r="C76" s="18">
        <f t="shared" si="23"/>
        <v>0</v>
      </c>
      <c r="D76" s="18">
        <f t="shared" si="21"/>
        <v>0</v>
      </c>
      <c r="E76" s="19">
        <f t="shared" si="24"/>
        <v>0</v>
      </c>
      <c r="F76" s="18">
        <f>[20]SCF!D73</f>
        <v>0</v>
      </c>
      <c r="G76" s="18">
        <f>[21]SCF!D73</f>
        <v>0</v>
      </c>
      <c r="H76" s="18">
        <f>[22]SCF!D73</f>
        <v>0</v>
      </c>
      <c r="I76" s="18">
        <f>[23]SCF!D73</f>
        <v>0</v>
      </c>
      <c r="J76" s="18">
        <f>[24]SCF!D73</f>
        <v>0</v>
      </c>
      <c r="K76" s="18">
        <f>[19]SCF!D73</f>
        <v>0</v>
      </c>
    </row>
    <row r="77" spans="1:11" x14ac:dyDescent="0.3">
      <c r="A77" s="24" t="s">
        <v>71</v>
      </c>
      <c r="B77" s="18">
        <f>[19]SCF!C74</f>
        <v>35288442.950000003</v>
      </c>
      <c r="C77" s="18">
        <f t="shared" si="23"/>
        <v>466837.86</v>
      </c>
      <c r="D77" s="18">
        <f t="shared" ref="D77:D81" si="25">C77-B77</f>
        <v>-34821605.090000004</v>
      </c>
      <c r="E77" s="19">
        <f t="shared" si="24"/>
        <v>-98.677080026847719</v>
      </c>
      <c r="F77" s="18">
        <f>[20]SCF!D74</f>
        <v>0</v>
      </c>
      <c r="G77" s="18">
        <f>[21]SCF!D74</f>
        <v>388987.14</v>
      </c>
      <c r="H77" s="18">
        <f>[22]SCF!D74</f>
        <v>28671.06</v>
      </c>
      <c r="I77" s="18">
        <f>[23]SCF!D74</f>
        <v>11837.98</v>
      </c>
      <c r="J77" s="18">
        <f>[24]SCF!D74</f>
        <v>27928.55</v>
      </c>
      <c r="K77" s="18">
        <f>[19]SCF!D74</f>
        <v>9413.1299999999992</v>
      </c>
    </row>
    <row r="78" spans="1:11" x14ac:dyDescent="0.3">
      <c r="A78" s="24" t="s">
        <v>72</v>
      </c>
      <c r="B78" s="18">
        <f>[19]SCF!C75</f>
        <v>274343875.80000001</v>
      </c>
      <c r="C78" s="18">
        <f t="shared" si="23"/>
        <v>106627151.60999998</v>
      </c>
      <c r="D78" s="18">
        <f t="shared" si="25"/>
        <v>-167716724.19000003</v>
      </c>
      <c r="E78" s="19">
        <f t="shared" si="24"/>
        <v>-61.133759119254968</v>
      </c>
      <c r="F78" s="18">
        <f>[20]SCF!D75</f>
        <v>18527950.309999999</v>
      </c>
      <c r="G78" s="18">
        <f>[21]SCF!D75</f>
        <v>17641950.170000002</v>
      </c>
      <c r="H78" s="18">
        <f>[22]SCF!D75</f>
        <v>15670934.869999999</v>
      </c>
      <c r="I78" s="18">
        <f>[23]SCF!D75</f>
        <v>17778928.199999999</v>
      </c>
      <c r="J78" s="18">
        <f>[24]SCF!D75</f>
        <v>15429305.210000001</v>
      </c>
      <c r="K78" s="18">
        <f>[19]SCF!D75</f>
        <v>21578082.850000001</v>
      </c>
    </row>
    <row r="79" spans="1:11" ht="15" customHeight="1" x14ac:dyDescent="0.3">
      <c r="A79" s="24" t="s">
        <v>73</v>
      </c>
      <c r="B79" s="18">
        <f>[19]SCF!C76</f>
        <v>19846930.780000001</v>
      </c>
      <c r="C79" s="18">
        <f t="shared" si="23"/>
        <v>12248913.059999999</v>
      </c>
      <c r="D79" s="18">
        <f t="shared" si="25"/>
        <v>-7598017.7200000025</v>
      </c>
      <c r="E79" s="19">
        <f t="shared" si="24"/>
        <v>-38.283086711103053</v>
      </c>
      <c r="F79" s="18">
        <f>[20]SCF!D76</f>
        <v>2233317.31</v>
      </c>
      <c r="G79" s="18">
        <f>[21]SCF!D76</f>
        <v>8558.98</v>
      </c>
      <c r="H79" s="18">
        <f>[22]SCF!D76</f>
        <v>0</v>
      </c>
      <c r="I79" s="18">
        <f>[23]SCF!D76</f>
        <v>0</v>
      </c>
      <c r="J79" s="18">
        <f>[24]SCF!D76</f>
        <v>0</v>
      </c>
      <c r="K79" s="18">
        <f>[19]SCF!D76</f>
        <v>10007036.77</v>
      </c>
    </row>
    <row r="80" spans="1:11" x14ac:dyDescent="0.3">
      <c r="A80" s="24" t="s">
        <v>74</v>
      </c>
      <c r="B80" s="18">
        <f>[19]SCF!C77</f>
        <v>0</v>
      </c>
      <c r="C80" s="18">
        <f t="shared" si="23"/>
        <v>0</v>
      </c>
      <c r="D80" s="18">
        <f t="shared" si="25"/>
        <v>0</v>
      </c>
      <c r="E80" s="19">
        <f t="shared" si="24"/>
        <v>0</v>
      </c>
      <c r="F80" s="18">
        <f>[20]SCF!D77</f>
        <v>0</v>
      </c>
      <c r="G80" s="18">
        <f>[21]SCF!D77</f>
        <v>0</v>
      </c>
      <c r="H80" s="18">
        <f>[22]SCF!D77</f>
        <v>0</v>
      </c>
      <c r="I80" s="18">
        <f>[23]SCF!D77</f>
        <v>0</v>
      </c>
      <c r="J80" s="18">
        <f>[24]SCF!D77</f>
        <v>0</v>
      </c>
      <c r="K80" s="18">
        <f>[19]SCF!D77</f>
        <v>0</v>
      </c>
    </row>
    <row r="81" spans="1:11" x14ac:dyDescent="0.3">
      <c r="A81" s="24" t="s">
        <v>75</v>
      </c>
      <c r="B81" s="18">
        <f>[19]SCF!C78</f>
        <v>0</v>
      </c>
      <c r="C81" s="18">
        <f t="shared" si="23"/>
        <v>0</v>
      </c>
      <c r="D81" s="18">
        <f t="shared" si="25"/>
        <v>0</v>
      </c>
      <c r="E81" s="19">
        <f t="shared" si="24"/>
        <v>0</v>
      </c>
      <c r="F81" s="18">
        <f>[20]SCF!D78</f>
        <v>0</v>
      </c>
      <c r="G81" s="18">
        <f>[21]SCF!D78</f>
        <v>0</v>
      </c>
      <c r="H81" s="18">
        <f>[22]SCF!D78</f>
        <v>0</v>
      </c>
      <c r="I81" s="18">
        <f>[23]SCF!D78</f>
        <v>0</v>
      </c>
      <c r="J81" s="18">
        <f>[24]SCF!D78</f>
        <v>0</v>
      </c>
      <c r="K81" s="18">
        <f>[19]SCF!D78</f>
        <v>0</v>
      </c>
    </row>
    <row r="82" spans="1:11" ht="15" customHeight="1" x14ac:dyDescent="0.3">
      <c r="A82" s="30" t="s">
        <v>76</v>
      </c>
      <c r="B82" s="15">
        <f>+B70+B77+B78+B79+B80+B81</f>
        <v>400881806.01999998</v>
      </c>
      <c r="C82" s="31">
        <f>+C70+C77+C78+C79+C80+C81</f>
        <v>153117683.19999999</v>
      </c>
      <c r="D82" s="31">
        <f t="shared" si="21"/>
        <v>-247764122.81999999</v>
      </c>
      <c r="E82" s="32">
        <f t="shared" si="22"/>
        <v>-61.804781134826328</v>
      </c>
      <c r="F82" s="31">
        <f t="shared" ref="F82:K82" si="26">+F70+F77+F78+F79+F80+F81</f>
        <v>25961813.049999997</v>
      </c>
      <c r="G82" s="31">
        <f t="shared" si="26"/>
        <v>23787824.700000003</v>
      </c>
      <c r="H82" s="31">
        <f t="shared" si="26"/>
        <v>20825826.229999997</v>
      </c>
      <c r="I82" s="31">
        <f t="shared" si="26"/>
        <v>23514589.030000001</v>
      </c>
      <c r="J82" s="31">
        <f t="shared" si="26"/>
        <v>20171875.109999999</v>
      </c>
      <c r="K82" s="31">
        <f t="shared" si="26"/>
        <v>38855755.079999998</v>
      </c>
    </row>
    <row r="83" spans="1:11" ht="15" customHeight="1" x14ac:dyDescent="0.3">
      <c r="A83" s="10" t="s">
        <v>77</v>
      </c>
      <c r="B83" s="11" t="s">
        <v>15</v>
      </c>
      <c r="C83" s="12" t="s">
        <v>15</v>
      </c>
      <c r="D83" s="11" t="s">
        <v>15</v>
      </c>
      <c r="E83" s="13" t="s">
        <v>15</v>
      </c>
      <c r="F83" s="12" t="s">
        <v>15</v>
      </c>
      <c r="G83" s="12" t="s">
        <v>15</v>
      </c>
      <c r="H83" s="12"/>
      <c r="I83" s="12" t="s">
        <v>15</v>
      </c>
      <c r="J83" s="12" t="s">
        <v>15</v>
      </c>
      <c r="K83" s="12"/>
    </row>
    <row r="84" spans="1:11" ht="15" customHeight="1" x14ac:dyDescent="0.3">
      <c r="A84" s="24" t="s">
        <v>78</v>
      </c>
      <c r="B84" s="18">
        <f>[19]SCF!C81</f>
        <v>27383811</v>
      </c>
      <c r="C84" s="18">
        <f t="shared" ref="C84:C86" si="27">SUM(F84:K84)</f>
        <v>4274761.9000000004</v>
      </c>
      <c r="D84" s="18">
        <f t="shared" ref="D84:D88" si="28">+C84-B84</f>
        <v>-23109049.100000001</v>
      </c>
      <c r="E84" s="19">
        <f t="shared" ref="E84:E86" si="29">IFERROR(+D84/B84*100,0)</f>
        <v>-84.389455872303529</v>
      </c>
      <c r="F84" s="18">
        <f>[20]SCF!D81</f>
        <v>0</v>
      </c>
      <c r="G84" s="18">
        <f>[21]SCF!D81</f>
        <v>0</v>
      </c>
      <c r="H84" s="18">
        <f>[22]SCF!D81</f>
        <v>0</v>
      </c>
      <c r="I84" s="18">
        <f>[23]SCF!D81</f>
        <v>4144761.9</v>
      </c>
      <c r="J84" s="18">
        <f>[24]SCF!D81</f>
        <v>47500</v>
      </c>
      <c r="K84" s="18">
        <f>[19]SCF!D81</f>
        <v>82500</v>
      </c>
    </row>
    <row r="85" spans="1:11" ht="15" customHeight="1" x14ac:dyDescent="0.3">
      <c r="A85" s="24" t="s">
        <v>79</v>
      </c>
      <c r="B85" s="18">
        <f>[19]SCF!C82</f>
        <v>631567482.75999999</v>
      </c>
      <c r="C85" s="18">
        <f t="shared" si="27"/>
        <v>80970330.519999996</v>
      </c>
      <c r="D85" s="18">
        <f t="shared" si="28"/>
        <v>-550597152.24000001</v>
      </c>
      <c r="E85" s="19">
        <f t="shared" si="29"/>
        <v>-87.179464945510929</v>
      </c>
      <c r="F85" s="18">
        <f>[20]SCF!D82</f>
        <v>10979848.189999999</v>
      </c>
      <c r="G85" s="18">
        <f>[21]SCF!D82</f>
        <v>18294462.43</v>
      </c>
      <c r="H85" s="18">
        <f>[22]SCF!D82</f>
        <v>20708802.75</v>
      </c>
      <c r="I85" s="18">
        <f>[23]SCF!D82</f>
        <v>14402649.369999999</v>
      </c>
      <c r="J85" s="18">
        <f>[24]SCF!D82</f>
        <v>13892045.32</v>
      </c>
      <c r="K85" s="18">
        <f>[19]SCF!D82</f>
        <v>2692522.46</v>
      </c>
    </row>
    <row r="86" spans="1:11" ht="15" customHeight="1" x14ac:dyDescent="0.3">
      <c r="A86" s="24" t="s">
        <v>80</v>
      </c>
      <c r="B86" s="18">
        <f>[19]SCF!C83</f>
        <v>272278308.56999999</v>
      </c>
      <c r="C86" s="18">
        <f t="shared" si="27"/>
        <v>43762196.740000002</v>
      </c>
      <c r="D86" s="18">
        <f t="shared" si="28"/>
        <v>-228516111.82999998</v>
      </c>
      <c r="E86" s="19">
        <f t="shared" si="29"/>
        <v>-83.927402454555349</v>
      </c>
      <c r="F86" s="18">
        <f>[20]SCF!D83</f>
        <v>7038084.25</v>
      </c>
      <c r="G86" s="18">
        <f>[21]SCF!D83</f>
        <v>9768977.2799999993</v>
      </c>
      <c r="H86" s="18">
        <f>[22]SCF!D83</f>
        <v>5093645.97</v>
      </c>
      <c r="I86" s="18">
        <f>[23]SCF!D83</f>
        <v>5729897.5599999996</v>
      </c>
      <c r="J86" s="18">
        <f>[24]SCF!D83</f>
        <v>12053562.75</v>
      </c>
      <c r="K86" s="18">
        <f>[19]SCF!D83</f>
        <v>4078028.93</v>
      </c>
    </row>
    <row r="87" spans="1:11" ht="15" customHeight="1" x14ac:dyDescent="0.3">
      <c r="A87" s="30" t="s">
        <v>81</v>
      </c>
      <c r="B87" s="33">
        <f>+B84+B85+B86</f>
        <v>931229602.32999992</v>
      </c>
      <c r="C87" s="31">
        <f>+C84+C85+C86</f>
        <v>129007289.16</v>
      </c>
      <c r="D87" s="31">
        <f t="shared" si="28"/>
        <v>-802222313.16999996</v>
      </c>
      <c r="E87" s="32">
        <f>+D87/B87*100</f>
        <v>-86.1465648388738</v>
      </c>
      <c r="F87" s="31">
        <f t="shared" ref="F87:K87" si="30">+F84+F85+F86</f>
        <v>18017932.439999998</v>
      </c>
      <c r="G87" s="31">
        <f t="shared" si="30"/>
        <v>28063439.710000001</v>
      </c>
      <c r="H87" s="31">
        <f t="shared" si="30"/>
        <v>25802448.719999999</v>
      </c>
      <c r="I87" s="31">
        <f t="shared" si="30"/>
        <v>24277308.829999998</v>
      </c>
      <c r="J87" s="31">
        <f t="shared" si="30"/>
        <v>25993108.07</v>
      </c>
      <c r="K87" s="31">
        <f t="shared" si="30"/>
        <v>6853051.3900000006</v>
      </c>
    </row>
    <row r="88" spans="1:11" ht="18" customHeight="1" x14ac:dyDescent="0.3">
      <c r="A88" s="25" t="s">
        <v>82</v>
      </c>
      <c r="B88" s="27">
        <f>+B45+B46+B68+B82+B87</f>
        <v>3743761966.46</v>
      </c>
      <c r="C88" s="27">
        <f>+C45+C46+C68+C82+C87</f>
        <v>1398985521.2000003</v>
      </c>
      <c r="D88" s="27">
        <f t="shared" si="28"/>
        <v>-2344776445.2599998</v>
      </c>
      <c r="E88" s="28">
        <f>+D88/B88*100</f>
        <v>-62.631557942695729</v>
      </c>
      <c r="F88" s="27">
        <f t="shared" ref="F88:K88" si="31">+F45+F46+F68+F82+F87</f>
        <v>218955193.38999999</v>
      </c>
      <c r="G88" s="27">
        <f t="shared" si="31"/>
        <v>197996842.92999998</v>
      </c>
      <c r="H88" s="27">
        <f t="shared" si="31"/>
        <v>214617506.27999997</v>
      </c>
      <c r="I88" s="27">
        <f t="shared" si="31"/>
        <v>215966781.17000002</v>
      </c>
      <c r="J88" s="27">
        <f t="shared" si="31"/>
        <v>264326488.87</v>
      </c>
      <c r="K88" s="27">
        <f t="shared" si="31"/>
        <v>287122708.56</v>
      </c>
    </row>
    <row r="89" spans="1:11" x14ac:dyDescent="0.3">
      <c r="A89" s="29" t="s">
        <v>15</v>
      </c>
      <c r="B89" s="3"/>
      <c r="C89" s="3"/>
      <c r="D89" s="3"/>
      <c r="E89" s="3"/>
    </row>
    <row r="90" spans="1:11" ht="15" customHeight="1" x14ac:dyDescent="0.3">
      <c r="A90" s="10" t="s">
        <v>83</v>
      </c>
      <c r="B90" s="11" t="s">
        <v>15</v>
      </c>
      <c r="C90" s="12" t="s">
        <v>15</v>
      </c>
      <c r="D90" s="11" t="s">
        <v>15</v>
      </c>
      <c r="E90" s="13" t="s">
        <v>15</v>
      </c>
      <c r="F90" s="12" t="s">
        <v>15</v>
      </c>
      <c r="G90" s="12" t="s">
        <v>15</v>
      </c>
      <c r="H90" s="12" t="s">
        <v>15</v>
      </c>
      <c r="I90" s="12" t="s">
        <v>15</v>
      </c>
      <c r="J90" s="12" t="s">
        <v>15</v>
      </c>
      <c r="K90" s="12" t="s">
        <v>15</v>
      </c>
    </row>
    <row r="91" spans="1:11" x14ac:dyDescent="0.3">
      <c r="A91" s="24" t="s">
        <v>84</v>
      </c>
      <c r="B91" s="18">
        <f>[19]SCF!C88</f>
        <v>10000000</v>
      </c>
      <c r="C91" s="18">
        <f t="shared" ref="C91:C97" si="32">SUM(F91:K91)</f>
        <v>10000000</v>
      </c>
      <c r="D91" s="18">
        <f t="shared" ref="D91:D98" si="33">+C91-B91</f>
        <v>0</v>
      </c>
      <c r="E91" s="19">
        <f>IFERROR(+D91/B91*100,0)</f>
        <v>0</v>
      </c>
      <c r="F91" s="18">
        <f>[20]SCF!D88</f>
        <v>0</v>
      </c>
      <c r="G91" s="18">
        <f>[21]SCF!D88</f>
        <v>0</v>
      </c>
      <c r="H91" s="18">
        <f>[22]SCF!D88</f>
        <v>0</v>
      </c>
      <c r="I91" s="18">
        <f>[23]SCF!D88</f>
        <v>0</v>
      </c>
      <c r="J91" s="18">
        <f>[24]SCF!D88</f>
        <v>0</v>
      </c>
      <c r="K91" s="18">
        <f>[19]SCF!D88</f>
        <v>10000000</v>
      </c>
    </row>
    <row r="92" spans="1:11" ht="15" customHeight="1" x14ac:dyDescent="0.3">
      <c r="A92" s="24" t="s">
        <v>85</v>
      </c>
      <c r="B92" s="18">
        <f>[19]SCF!C89</f>
        <v>0</v>
      </c>
      <c r="C92" s="18">
        <f t="shared" si="32"/>
        <v>0</v>
      </c>
      <c r="D92" s="18">
        <f t="shared" si="33"/>
        <v>0</v>
      </c>
      <c r="E92" s="19">
        <f t="shared" ref="E92:E97" si="34">IFERROR(+D92/B92*100,0)</f>
        <v>0</v>
      </c>
      <c r="F92" s="18">
        <f>[20]SCF!D89</f>
        <v>0</v>
      </c>
      <c r="G92" s="18">
        <f>[21]SCF!D89</f>
        <v>0</v>
      </c>
      <c r="H92" s="18">
        <f>[22]SCF!D89</f>
        <v>0</v>
      </c>
      <c r="I92" s="18">
        <f>[23]SCF!D89</f>
        <v>0</v>
      </c>
      <c r="J92" s="18">
        <f>[24]SCF!D89</f>
        <v>0</v>
      </c>
      <c r="K92" s="18">
        <f>[19]SCF!D89</f>
        <v>0</v>
      </c>
    </row>
    <row r="93" spans="1:11" ht="15" customHeight="1" x14ac:dyDescent="0.3">
      <c r="A93" s="24" t="s">
        <v>86</v>
      </c>
      <c r="B93" s="18">
        <f>[19]SCF!C90</f>
        <v>90430093</v>
      </c>
      <c r="C93" s="18">
        <f t="shared" si="32"/>
        <v>45369698.230000004</v>
      </c>
      <c r="D93" s="18">
        <f t="shared" si="33"/>
        <v>-45060394.769999996</v>
      </c>
      <c r="E93" s="19">
        <f t="shared" si="34"/>
        <v>-49.828982007128971</v>
      </c>
      <c r="F93" s="18">
        <f>[20]SCF!D90</f>
        <v>6133096.9000000004</v>
      </c>
      <c r="G93" s="18">
        <f>[21]SCF!D90</f>
        <v>8742409.3300000001</v>
      </c>
      <c r="H93" s="18">
        <f>[22]SCF!D90</f>
        <v>7671748.3899999997</v>
      </c>
      <c r="I93" s="18">
        <f>[23]SCF!D90</f>
        <v>7903520.1900000004</v>
      </c>
      <c r="J93" s="18">
        <f>[24]SCF!D90</f>
        <v>7310027.6299999999</v>
      </c>
      <c r="K93" s="18">
        <f>[19]SCF!D90</f>
        <v>7608895.79</v>
      </c>
    </row>
    <row r="94" spans="1:11" ht="15" customHeight="1" x14ac:dyDescent="0.3">
      <c r="A94" s="24" t="s">
        <v>87</v>
      </c>
      <c r="B94" s="18">
        <f>[19]SCF!C91</f>
        <v>0</v>
      </c>
      <c r="C94" s="18">
        <f t="shared" si="32"/>
        <v>0</v>
      </c>
      <c r="D94" s="18">
        <f t="shared" si="33"/>
        <v>0</v>
      </c>
      <c r="E94" s="19">
        <f t="shared" si="34"/>
        <v>0</v>
      </c>
      <c r="F94" s="18">
        <f>[20]SCF!D91</f>
        <v>0</v>
      </c>
      <c r="G94" s="18">
        <f>[21]SCF!D91</f>
        <v>0</v>
      </c>
      <c r="H94" s="18">
        <f>[22]SCF!D91</f>
        <v>0</v>
      </c>
      <c r="I94" s="18">
        <f>[23]SCF!D91</f>
        <v>0</v>
      </c>
      <c r="J94" s="18">
        <f>[24]SCF!D91</f>
        <v>0</v>
      </c>
      <c r="K94" s="18">
        <f>[19]SCF!D91</f>
        <v>0</v>
      </c>
    </row>
    <row r="95" spans="1:11" ht="15" customHeight="1" x14ac:dyDescent="0.3">
      <c r="A95" s="24" t="s">
        <v>88</v>
      </c>
      <c r="B95" s="18">
        <f>[19]SCF!C92</f>
        <v>0</v>
      </c>
      <c r="C95" s="18">
        <f t="shared" si="32"/>
        <v>0</v>
      </c>
      <c r="D95" s="18">
        <f t="shared" si="33"/>
        <v>0</v>
      </c>
      <c r="E95" s="19">
        <f t="shared" si="34"/>
        <v>0</v>
      </c>
      <c r="F95" s="18">
        <f>[20]SCF!D92</f>
        <v>0</v>
      </c>
      <c r="G95" s="18">
        <f>[21]SCF!D92</f>
        <v>0</v>
      </c>
      <c r="H95" s="18">
        <f>[22]SCF!D92</f>
        <v>0</v>
      </c>
      <c r="I95" s="18">
        <f>[23]SCF!D92</f>
        <v>0</v>
      </c>
      <c r="J95" s="18">
        <f>[24]SCF!D92</f>
        <v>0</v>
      </c>
      <c r="K95" s="18">
        <f>[19]SCF!D92</f>
        <v>0</v>
      </c>
    </row>
    <row r="96" spans="1:11" ht="15" customHeight="1" x14ac:dyDescent="0.3">
      <c r="A96" s="24" t="s">
        <v>89</v>
      </c>
      <c r="B96" s="18">
        <f>[19]SCF!C93</f>
        <v>0</v>
      </c>
      <c r="C96" s="18">
        <f t="shared" si="32"/>
        <v>0</v>
      </c>
      <c r="D96" s="18">
        <f t="shared" si="33"/>
        <v>0</v>
      </c>
      <c r="E96" s="19">
        <f t="shared" si="34"/>
        <v>0</v>
      </c>
      <c r="F96" s="18">
        <f>[20]SCF!D93</f>
        <v>0</v>
      </c>
      <c r="G96" s="18">
        <f>[21]SCF!D93</f>
        <v>0</v>
      </c>
      <c r="H96" s="18">
        <f>[22]SCF!D93</f>
        <v>0</v>
      </c>
      <c r="I96" s="18">
        <f>[23]SCF!D93</f>
        <v>0</v>
      </c>
      <c r="J96" s="18">
        <f>[24]SCF!D93</f>
        <v>0</v>
      </c>
      <c r="K96" s="18">
        <f>[19]SCF!D93</f>
        <v>0</v>
      </c>
    </row>
    <row r="97" spans="1:11" x14ac:dyDescent="0.3">
      <c r="A97" s="24" t="s">
        <v>90</v>
      </c>
      <c r="B97" s="18">
        <f>[19]SCF!C94</f>
        <v>164891739</v>
      </c>
      <c r="C97" s="18">
        <f t="shared" si="32"/>
        <v>346333.33</v>
      </c>
      <c r="D97" s="18">
        <f t="shared" si="33"/>
        <v>-164545405.66999999</v>
      </c>
      <c r="E97" s="19">
        <f t="shared" si="34"/>
        <v>-99.789963201249265</v>
      </c>
      <c r="F97" s="18">
        <f>[20]SCF!D94</f>
        <v>346333.33</v>
      </c>
      <c r="G97" s="18">
        <f>[21]SCF!D94</f>
        <v>0</v>
      </c>
      <c r="H97" s="18">
        <f>[22]SCF!D94</f>
        <v>0</v>
      </c>
      <c r="I97" s="18">
        <f>[23]SCF!D94</f>
        <v>0</v>
      </c>
      <c r="J97" s="18">
        <f>[24]SCF!D94</f>
        <v>0</v>
      </c>
      <c r="K97" s="18">
        <f>[19]SCF!D94</f>
        <v>0</v>
      </c>
    </row>
    <row r="98" spans="1:11" ht="15" customHeight="1" x14ac:dyDescent="0.3">
      <c r="A98" s="30" t="s">
        <v>91</v>
      </c>
      <c r="B98" s="33">
        <f>SUM(B91:B97)</f>
        <v>265321832</v>
      </c>
      <c r="C98" s="31">
        <f>SUM(C91:C97)</f>
        <v>55716031.560000002</v>
      </c>
      <c r="D98" s="31">
        <f t="shared" si="33"/>
        <v>-209605800.44</v>
      </c>
      <c r="E98" s="32">
        <f t="shared" ref="E98" si="35">+D98/B98*100</f>
        <v>-79.000585387183662</v>
      </c>
      <c r="F98" s="31">
        <f>[20]SCF!D95</f>
        <v>6479430.2300000004</v>
      </c>
      <c r="G98" s="31">
        <f t="shared" ref="G98:K98" si="36">SUM(G91:G97)</f>
        <v>8742409.3300000001</v>
      </c>
      <c r="H98" s="31">
        <f t="shared" si="36"/>
        <v>7671748.3899999997</v>
      </c>
      <c r="I98" s="31">
        <f t="shared" si="36"/>
        <v>7903520.1900000004</v>
      </c>
      <c r="J98" s="31">
        <f t="shared" si="36"/>
        <v>7310027.6299999999</v>
      </c>
      <c r="K98" s="31">
        <f t="shared" si="36"/>
        <v>17608895.789999999</v>
      </c>
    </row>
    <row r="99" spans="1:11" ht="15" customHeight="1" x14ac:dyDescent="0.3">
      <c r="A99" s="34" t="s">
        <v>92</v>
      </c>
      <c r="B99" s="35">
        <f>+B42-B88-B98</f>
        <v>-319485504.5</v>
      </c>
      <c r="C99" s="36">
        <f>+C42-C88-C98</f>
        <v>16228939.389999807</v>
      </c>
      <c r="D99" s="37" t="s">
        <v>15</v>
      </c>
      <c r="E99" s="38" t="s">
        <v>15</v>
      </c>
      <c r="F99" s="36">
        <f t="shared" ref="F99:K99" si="37">+F42-F88-F98</f>
        <v>37232212.140000001</v>
      </c>
      <c r="G99" s="36">
        <f t="shared" si="37"/>
        <v>14684038.060000015</v>
      </c>
      <c r="H99" s="36">
        <f t="shared" si="37"/>
        <v>19015632.340000018</v>
      </c>
      <c r="I99" s="36">
        <f t="shared" si="37"/>
        <v>-20376597.480000023</v>
      </c>
      <c r="J99" s="36">
        <f t="shared" si="37"/>
        <v>2103452.639999981</v>
      </c>
      <c r="K99" s="36">
        <f t="shared" si="37"/>
        <v>-36429798.31000001</v>
      </c>
    </row>
    <row r="100" spans="1:11" ht="15" customHeight="1" x14ac:dyDescent="0.3">
      <c r="A100" s="39" t="s">
        <v>93</v>
      </c>
      <c r="B100" s="18">
        <f>[19]SCF!$C$97</f>
        <v>629606265.15999997</v>
      </c>
      <c r="C100" s="18">
        <f>F100</f>
        <v>455406735.98000002</v>
      </c>
      <c r="D100" s="40" t="s">
        <v>15</v>
      </c>
      <c r="E100" s="41" t="s">
        <v>15</v>
      </c>
      <c r="F100" s="18">
        <f>[20]SCF!$D$97</f>
        <v>455406735.98000002</v>
      </c>
      <c r="G100" s="18">
        <f>F101</f>
        <v>492638948.12</v>
      </c>
      <c r="H100" s="18">
        <f>G101</f>
        <v>507322986.18000001</v>
      </c>
      <c r="I100" s="18">
        <f>H101</f>
        <v>526338618.52000004</v>
      </c>
      <c r="J100" s="18">
        <f t="shared" ref="J100:K100" si="38">I101</f>
        <v>505962021.04000002</v>
      </c>
      <c r="K100" s="18">
        <f t="shared" si="38"/>
        <v>508065473.68000001</v>
      </c>
    </row>
    <row r="101" spans="1:11" ht="15" customHeight="1" x14ac:dyDescent="0.3">
      <c r="A101" s="34" t="s">
        <v>94</v>
      </c>
      <c r="B101" s="35">
        <f>B99+B100</f>
        <v>310120760.65999997</v>
      </c>
      <c r="C101" s="36">
        <f>C99+C100</f>
        <v>471635675.36999983</v>
      </c>
      <c r="D101" s="42" t="s">
        <v>15</v>
      </c>
      <c r="E101" s="43" t="s">
        <v>15</v>
      </c>
      <c r="F101" s="36">
        <f t="shared" ref="F101:K101" si="39">F99+F100</f>
        <v>492638948.12</v>
      </c>
      <c r="G101" s="36">
        <f t="shared" si="39"/>
        <v>507322986.18000001</v>
      </c>
      <c r="H101" s="36">
        <f t="shared" si="39"/>
        <v>526338618.52000004</v>
      </c>
      <c r="I101" s="36">
        <f t="shared" si="39"/>
        <v>505962021.04000002</v>
      </c>
      <c r="J101" s="36">
        <f t="shared" si="39"/>
        <v>508065473.68000001</v>
      </c>
      <c r="K101" s="36">
        <f t="shared" si="39"/>
        <v>471635675.37</v>
      </c>
    </row>
    <row r="102" spans="1:11" x14ac:dyDescent="0.3">
      <c r="F102" s="44">
        <f>[20]SCF!$D$98</f>
        <v>492638948.12</v>
      </c>
      <c r="G102" s="44">
        <f>[21]SCF!$D$98</f>
        <v>507322986.18000001</v>
      </c>
      <c r="H102" s="44">
        <f>[22]SCF!$D$98</f>
        <v>526338618.51999998</v>
      </c>
      <c r="I102" s="44">
        <f>[23]SCF!$D$98</f>
        <v>505962021.04000002</v>
      </c>
      <c r="J102" s="44">
        <f>[24]SCF!$D$98</f>
        <v>508065473.68000001</v>
      </c>
      <c r="K102" s="44">
        <f>[19]SCF!$D$98</f>
        <v>471635675.37</v>
      </c>
    </row>
    <row r="103" spans="1:11" x14ac:dyDescent="0.3">
      <c r="F103" s="44">
        <f t="shared" ref="F103:K103" si="40">+F101-F102</f>
        <v>0</v>
      </c>
      <c r="G103" s="44">
        <f t="shared" si="40"/>
        <v>0</v>
      </c>
      <c r="H103" s="44">
        <f t="shared" si="40"/>
        <v>0</v>
      </c>
      <c r="I103" s="44">
        <f t="shared" si="40"/>
        <v>0</v>
      </c>
      <c r="J103" s="44">
        <f t="shared" si="40"/>
        <v>0</v>
      </c>
      <c r="K103" s="44">
        <f t="shared" si="40"/>
        <v>0</v>
      </c>
    </row>
  </sheetData>
  <mergeCells count="7">
    <mergeCell ref="A89:E89"/>
    <mergeCell ref="A2:A11"/>
    <mergeCell ref="B2:D2"/>
    <mergeCell ref="E4:G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03"/>
  <sheetViews>
    <sheetView showGridLines="0" zoomScaleNormal="100" workbookViewId="0">
      <selection activeCell="F24" sqref="F24"/>
    </sheetView>
  </sheetViews>
  <sheetFormatPr defaultRowHeight="14.4" outlineLevelCol="1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1" width="23.5546875" style="1" customWidth="1" outlineLevel="1"/>
    <col min="12" max="16384" width="8.88671875" style="1"/>
  </cols>
  <sheetData>
    <row r="1" spans="1:11" ht="16.95" customHeight="1" x14ac:dyDescent="0.3">
      <c r="B1" s="2" t="s">
        <v>0</v>
      </c>
    </row>
    <row r="2" spans="1:11" ht="12.9" customHeight="1" x14ac:dyDescent="0.3">
      <c r="A2" s="3"/>
      <c r="B2" s="4" t="s">
        <v>1</v>
      </c>
      <c r="C2" s="3"/>
      <c r="D2" s="3"/>
    </row>
    <row r="3" spans="1:11" ht="0.6" customHeight="1" x14ac:dyDescent="0.3">
      <c r="A3" s="3"/>
    </row>
    <row r="4" spans="1:11" ht="0.45" customHeight="1" x14ac:dyDescent="0.3">
      <c r="A4" s="3"/>
      <c r="E4" s="3"/>
      <c r="F4" s="3"/>
      <c r="G4" s="3"/>
    </row>
    <row r="5" spans="1:11" ht="4.95" customHeight="1" x14ac:dyDescent="0.3">
      <c r="A5" s="3"/>
      <c r="E5" s="3"/>
      <c r="F5" s="3"/>
      <c r="G5" s="3"/>
    </row>
    <row r="6" spans="1:11" ht="0.6" customHeight="1" x14ac:dyDescent="0.3">
      <c r="A6" s="3"/>
      <c r="E6" s="3"/>
      <c r="F6" s="3"/>
      <c r="G6" s="3"/>
    </row>
    <row r="7" spans="1:11" ht="2.4" customHeight="1" x14ac:dyDescent="0.3">
      <c r="A7" s="3"/>
      <c r="B7" s="5" t="s">
        <v>2</v>
      </c>
      <c r="C7" s="5"/>
      <c r="D7" s="5"/>
      <c r="E7" s="3"/>
      <c r="F7" s="3"/>
      <c r="G7" s="3"/>
    </row>
    <row r="8" spans="1:11" ht="16.95" customHeight="1" x14ac:dyDescent="0.3">
      <c r="A8" s="3"/>
      <c r="B8" s="5"/>
      <c r="C8" s="5"/>
      <c r="D8" s="5"/>
    </row>
    <row r="9" spans="1:11" ht="1.95" customHeight="1" x14ac:dyDescent="0.3">
      <c r="A9" s="3"/>
      <c r="B9" s="6" t="str">
        <f>+CONCATENATE("JUNE 2023,"&amp;" "&amp;B13)</f>
        <v>JUNE 2023, PELCO I</v>
      </c>
      <c r="C9" s="6"/>
    </row>
    <row r="10" spans="1:11" ht="15.6" customHeight="1" x14ac:dyDescent="0.3">
      <c r="A10" s="3"/>
      <c r="B10" s="6"/>
      <c r="C10" s="6"/>
    </row>
    <row r="11" spans="1:11" ht="0.45" customHeight="1" x14ac:dyDescent="0.3">
      <c r="A11" s="3"/>
    </row>
    <row r="12" spans="1:11" ht="0" hidden="1" customHeight="1" x14ac:dyDescent="0.3"/>
    <row r="13" spans="1:11" ht="15.45" customHeight="1" x14ac:dyDescent="0.3">
      <c r="B13" s="7" t="str">
        <f>+[25]SCF!$C$2</f>
        <v>PELCO I</v>
      </c>
    </row>
    <row r="14" spans="1:11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9" t="s">
        <v>10</v>
      </c>
      <c r="I14" s="9" t="s">
        <v>11</v>
      </c>
      <c r="J14" s="9" t="s">
        <v>12</v>
      </c>
      <c r="K14" s="9" t="s">
        <v>13</v>
      </c>
    </row>
    <row r="15" spans="1:11" ht="15" customHeight="1" x14ac:dyDescent="0.3">
      <c r="A15" s="10" t="s">
        <v>14</v>
      </c>
      <c r="B15" s="11" t="s">
        <v>15</v>
      </c>
      <c r="C15" s="12" t="s">
        <v>15</v>
      </c>
      <c r="D15" s="11" t="s">
        <v>15</v>
      </c>
      <c r="E15" s="13" t="s">
        <v>15</v>
      </c>
      <c r="F15" s="12" t="s">
        <v>15</v>
      </c>
      <c r="G15" s="12" t="s">
        <v>15</v>
      </c>
      <c r="H15" s="12" t="s">
        <v>15</v>
      </c>
      <c r="I15" s="12" t="s">
        <v>15</v>
      </c>
      <c r="J15" s="12" t="s">
        <v>15</v>
      </c>
      <c r="K15" s="12" t="s">
        <v>15</v>
      </c>
    </row>
    <row r="16" spans="1:11" ht="15" customHeight="1" x14ac:dyDescent="0.3">
      <c r="A16" s="14" t="s">
        <v>16</v>
      </c>
      <c r="B16" s="15">
        <f>[25]SCF!C12</f>
        <v>3356794653</v>
      </c>
      <c r="C16" s="15">
        <f>+C17+C18+C19+C26+C27+C28</f>
        <v>2118580366.1899998</v>
      </c>
      <c r="D16" s="15">
        <f>+C16-B16</f>
        <v>-1238214286.8100002</v>
      </c>
      <c r="E16" s="16">
        <f t="shared" ref="E16:E42" si="0">+D16/B16*100</f>
        <v>-36.886804669549747</v>
      </c>
      <c r="F16" s="15">
        <f>[26]SCF!D12</f>
        <v>342526217.69</v>
      </c>
      <c r="G16" s="15">
        <f>[27]SCF!D12</f>
        <v>302676761.74000001</v>
      </c>
      <c r="H16" s="15">
        <f>[28]SCF!D12</f>
        <v>296899221.25</v>
      </c>
      <c r="I16" s="15">
        <f>[29]SCF!D12</f>
        <v>336914531.18000001</v>
      </c>
      <c r="J16" s="15">
        <f>[30]SCF!D12</f>
        <v>423339958.93000001</v>
      </c>
      <c r="K16" s="15">
        <f>[25]SCF!D12</f>
        <v>416223675.39999998</v>
      </c>
    </row>
    <row r="17" spans="1:11" ht="15" customHeight="1" x14ac:dyDescent="0.3">
      <c r="A17" s="17" t="s">
        <v>17</v>
      </c>
      <c r="B17" s="18">
        <f>[25]SCF!C13</f>
        <v>2808125168</v>
      </c>
      <c r="C17" s="18">
        <f>SUM(F17:K17)</f>
        <v>1864053867.7</v>
      </c>
      <c r="D17" s="18">
        <f t="shared" ref="D17:D42" si="1">+C17-B17</f>
        <v>-944071300.29999995</v>
      </c>
      <c r="E17" s="19">
        <f t="shared" ref="E17:E18" si="2">IFERROR(+D17/B17*100,0)</f>
        <v>-33.619274206797037</v>
      </c>
      <c r="F17" s="18">
        <f>[26]SCF!D13</f>
        <v>307715856.23000002</v>
      </c>
      <c r="G17" s="18">
        <f>[27]SCF!D13</f>
        <v>269405671.69999999</v>
      </c>
      <c r="H17" s="18">
        <f>[28]SCF!D13</f>
        <v>263297796.49000001</v>
      </c>
      <c r="I17" s="18">
        <f>[29]SCF!D13</f>
        <v>290328328.52999997</v>
      </c>
      <c r="J17" s="18">
        <f>[30]SCF!D13</f>
        <v>370587608.94999999</v>
      </c>
      <c r="K17" s="18">
        <f>[25]SCF!D13</f>
        <v>362718605.80000001</v>
      </c>
    </row>
    <row r="18" spans="1:11" ht="15" customHeight="1" x14ac:dyDescent="0.3">
      <c r="A18" s="17" t="s">
        <v>18</v>
      </c>
      <c r="B18" s="18">
        <f>[25]SCF!C14</f>
        <v>110091423</v>
      </c>
      <c r="C18" s="18">
        <f>SUM(F18:K18)</f>
        <v>65012827.579999998</v>
      </c>
      <c r="D18" s="18">
        <f t="shared" si="1"/>
        <v>-45078595.420000002</v>
      </c>
      <c r="E18" s="19">
        <f t="shared" si="2"/>
        <v>-40.946509902047502</v>
      </c>
      <c r="F18" s="18">
        <f>[26]SCF!D14</f>
        <v>8835129.1799999997</v>
      </c>
      <c r="G18" s="18">
        <f>[27]SCF!D14</f>
        <v>7737456.5999999996</v>
      </c>
      <c r="H18" s="18">
        <f>[28]SCF!D14</f>
        <v>8385678.4400000004</v>
      </c>
      <c r="I18" s="18">
        <f>[29]SCF!D14</f>
        <v>13942088.76</v>
      </c>
      <c r="J18" s="18">
        <f>[30]SCF!D14</f>
        <v>13313403.609999999</v>
      </c>
      <c r="K18" s="18">
        <f>[25]SCF!D14</f>
        <v>12799070.99</v>
      </c>
    </row>
    <row r="19" spans="1:11" ht="15" customHeight="1" x14ac:dyDescent="0.3">
      <c r="A19" s="20" t="s">
        <v>19</v>
      </c>
      <c r="B19" s="15">
        <f>[25]SCF!C15</f>
        <v>75426895</v>
      </c>
      <c r="C19" s="21">
        <f>+C20+C21+C22+C23+C24+C25</f>
        <v>51885582.519999988</v>
      </c>
      <c r="D19" s="21">
        <f t="shared" si="1"/>
        <v>-23541312.480000012</v>
      </c>
      <c r="E19" s="22">
        <f t="shared" si="0"/>
        <v>-31.210767034755989</v>
      </c>
      <c r="F19" s="21">
        <f>[26]SCF!D15</f>
        <v>6814973.8700000001</v>
      </c>
      <c r="G19" s="21">
        <f>[27]SCF!D15</f>
        <v>5954973.5099999998</v>
      </c>
      <c r="H19" s="21">
        <f>[28]SCF!D15</f>
        <v>6447716.0700000003</v>
      </c>
      <c r="I19" s="21">
        <f>[29]SCF!D15</f>
        <v>10726716.960000001</v>
      </c>
      <c r="J19" s="21">
        <f>[30]SCF!D15</f>
        <v>10244551</v>
      </c>
      <c r="K19" s="21">
        <f>[25]SCF!D15</f>
        <v>11696651.109999999</v>
      </c>
    </row>
    <row r="20" spans="1:11" ht="15" customHeight="1" x14ac:dyDescent="0.3">
      <c r="A20" s="23" t="s">
        <v>20</v>
      </c>
      <c r="B20" s="18">
        <f>[25]SCF!C16</f>
        <v>75426895</v>
      </c>
      <c r="C20" s="18">
        <f t="shared" ref="C20:C26" si="3">SUM(F20:K20)</f>
        <v>41777091.909999996</v>
      </c>
      <c r="D20" s="18">
        <f t="shared" si="1"/>
        <v>-33649803.090000004</v>
      </c>
      <c r="E20" s="19">
        <f t="shared" ref="E20:E28" si="4">IFERROR(+D20/B20*100,0)</f>
        <v>-44.612472898427022</v>
      </c>
      <c r="F20" s="18">
        <f>[26]SCF!D16</f>
        <v>5423550.6799999997</v>
      </c>
      <c r="G20" s="18">
        <f>[27]SCF!D16</f>
        <v>4749405.07</v>
      </c>
      <c r="H20" s="18">
        <f>[28]SCF!D16</f>
        <v>5147764.32</v>
      </c>
      <c r="I20" s="18">
        <f>[29]SCF!D16</f>
        <v>8559044.7799999993</v>
      </c>
      <c r="J20" s="18">
        <f>[30]SCF!D16</f>
        <v>8182593.9699999997</v>
      </c>
      <c r="K20" s="18">
        <f>[25]SCF!D16</f>
        <v>9714733.0899999999</v>
      </c>
    </row>
    <row r="21" spans="1:11" ht="15" customHeight="1" x14ac:dyDescent="0.3">
      <c r="A21" s="23" t="s">
        <v>21</v>
      </c>
      <c r="B21" s="18">
        <f>[25]SCF!C17</f>
        <v>0</v>
      </c>
      <c r="C21" s="18">
        <f t="shared" si="3"/>
        <v>386181.76</v>
      </c>
      <c r="D21" s="18">
        <f t="shared" si="1"/>
        <v>386181.76</v>
      </c>
      <c r="E21" s="19">
        <f t="shared" si="4"/>
        <v>0</v>
      </c>
      <c r="F21" s="18">
        <f>[26]SCF!D17</f>
        <v>53161.83</v>
      </c>
      <c r="G21" s="18">
        <f>[27]SCF!D17</f>
        <v>46064.57</v>
      </c>
      <c r="H21" s="18">
        <f>[28]SCF!D17</f>
        <v>49663.76</v>
      </c>
      <c r="I21" s="18">
        <f>[29]SCF!D17</f>
        <v>82812.399999999994</v>
      </c>
      <c r="J21" s="18">
        <f>[30]SCF!D17</f>
        <v>78775.520000000004</v>
      </c>
      <c r="K21" s="18">
        <f>[25]SCF!D17</f>
        <v>75703.679999999993</v>
      </c>
    </row>
    <row r="22" spans="1:11" ht="15" customHeight="1" x14ac:dyDescent="0.3">
      <c r="A22" s="23" t="s">
        <v>22</v>
      </c>
      <c r="B22" s="18">
        <f>[25]SCF!C18</f>
        <v>0</v>
      </c>
      <c r="C22" s="18">
        <f t="shared" si="3"/>
        <v>56.730000000000004</v>
      </c>
      <c r="D22" s="18">
        <f t="shared" si="1"/>
        <v>56.730000000000004</v>
      </c>
      <c r="E22" s="19">
        <f t="shared" si="4"/>
        <v>0</v>
      </c>
      <c r="F22" s="18">
        <f>[26]SCF!D18</f>
        <v>2.74</v>
      </c>
      <c r="G22" s="18">
        <f>[27]SCF!D18</f>
        <v>4.5599999999999996</v>
      </c>
      <c r="H22" s="18">
        <f>[28]SCF!D18</f>
        <v>15.98</v>
      </c>
      <c r="I22" s="18">
        <f>[29]SCF!D18</f>
        <v>4.75</v>
      </c>
      <c r="J22" s="18">
        <f>[30]SCF!D18</f>
        <v>6.24</v>
      </c>
      <c r="K22" s="18">
        <f>[25]SCF!D18</f>
        <v>22.46</v>
      </c>
    </row>
    <row r="23" spans="1:11" ht="15" customHeight="1" x14ac:dyDescent="0.3">
      <c r="A23" s="23" t="s">
        <v>23</v>
      </c>
      <c r="B23" s="18">
        <f>[25]SCF!C19</f>
        <v>0</v>
      </c>
      <c r="C23" s="18">
        <f t="shared" si="3"/>
        <v>990.98000000000013</v>
      </c>
      <c r="D23" s="18">
        <f t="shared" si="1"/>
        <v>990.98000000000013</v>
      </c>
      <c r="E23" s="19">
        <f t="shared" si="4"/>
        <v>0</v>
      </c>
      <c r="F23" s="18">
        <f>[26]SCF!D19</f>
        <v>54.62</v>
      </c>
      <c r="G23" s="18">
        <f>[27]SCF!D19</f>
        <v>50.97</v>
      </c>
      <c r="H23" s="18">
        <f>[28]SCF!D19</f>
        <v>268.72000000000003</v>
      </c>
      <c r="I23" s="18">
        <f>[29]SCF!D19</f>
        <v>101.31</v>
      </c>
      <c r="J23" s="18">
        <f>[30]SCF!D19</f>
        <v>96.5</v>
      </c>
      <c r="K23" s="18">
        <f>[25]SCF!D19</f>
        <v>418.86</v>
      </c>
    </row>
    <row r="24" spans="1:11" ht="15" customHeight="1" x14ac:dyDescent="0.3">
      <c r="A24" s="23" t="s">
        <v>24</v>
      </c>
      <c r="B24" s="18">
        <f>[25]SCF!C20</f>
        <v>0</v>
      </c>
      <c r="C24" s="18">
        <f t="shared" si="3"/>
        <v>9721261.1399999987</v>
      </c>
      <c r="D24" s="18">
        <f t="shared" si="1"/>
        <v>9721261.1399999987</v>
      </c>
      <c r="E24" s="19">
        <f t="shared" si="4"/>
        <v>0</v>
      </c>
      <c r="F24" s="18">
        <f>[26]SCF!D20</f>
        <v>1338204</v>
      </c>
      <c r="G24" s="18">
        <f>[27]SCF!D20</f>
        <v>1159448.3400000001</v>
      </c>
      <c r="H24" s="18">
        <f>[28]SCF!D20</f>
        <v>1250003.29</v>
      </c>
      <c r="I24" s="18">
        <f>[29]SCF!D20</f>
        <v>2084753.72</v>
      </c>
      <c r="J24" s="18">
        <f>[30]SCF!D20</f>
        <v>1983078.77</v>
      </c>
      <c r="K24" s="18">
        <f>[25]SCF!D20</f>
        <v>1905773.02</v>
      </c>
    </row>
    <row r="25" spans="1:11" ht="15" customHeight="1" x14ac:dyDescent="0.3">
      <c r="A25" s="23" t="s">
        <v>25</v>
      </c>
      <c r="B25" s="18">
        <f>[25]SCF!C21</f>
        <v>0</v>
      </c>
      <c r="C25" s="18">
        <f t="shared" si="3"/>
        <v>0</v>
      </c>
      <c r="D25" s="18">
        <f t="shared" si="1"/>
        <v>0</v>
      </c>
      <c r="E25" s="19">
        <f t="shared" si="4"/>
        <v>0</v>
      </c>
      <c r="F25" s="18">
        <f>[26]SCF!D21</f>
        <v>0</v>
      </c>
      <c r="G25" s="18">
        <f>[27]SCF!D21</f>
        <v>0</v>
      </c>
      <c r="H25" s="18">
        <f>[28]SCF!D21</f>
        <v>0</v>
      </c>
      <c r="I25" s="18">
        <f>[29]SCF!D21</f>
        <v>0</v>
      </c>
      <c r="J25" s="18">
        <f>[30]SCF!D21</f>
        <v>0</v>
      </c>
      <c r="K25" s="18">
        <f>[25]SCF!D21</f>
        <v>0</v>
      </c>
    </row>
    <row r="26" spans="1:11" ht="15" customHeight="1" x14ac:dyDescent="0.3">
      <c r="A26" s="17" t="s">
        <v>26</v>
      </c>
      <c r="B26" s="18">
        <f>[25]SCF!C22</f>
        <v>36717360</v>
      </c>
      <c r="C26" s="18">
        <f t="shared" si="3"/>
        <v>-1599912.6800000004</v>
      </c>
      <c r="D26" s="18">
        <f t="shared" si="1"/>
        <v>-38317272.68</v>
      </c>
      <c r="E26" s="19">
        <f t="shared" si="4"/>
        <v>-104.35737395063262</v>
      </c>
      <c r="F26" s="18">
        <f>[26]SCF!D22</f>
        <v>-1573962.52</v>
      </c>
      <c r="G26" s="18">
        <f>[27]SCF!D22</f>
        <v>-53530.31</v>
      </c>
      <c r="H26" s="18">
        <f>[28]SCF!D22</f>
        <v>5234.1499999999996</v>
      </c>
      <c r="I26" s="18">
        <f>[29]SCF!D22</f>
        <v>8450.9500000000007</v>
      </c>
      <c r="J26" s="18">
        <f>[30]SCF!D22</f>
        <v>8082.17</v>
      </c>
      <c r="K26" s="18">
        <f>[25]SCF!D22</f>
        <v>5812.88</v>
      </c>
    </row>
    <row r="27" spans="1:11" ht="15" customHeight="1" x14ac:dyDescent="0.3">
      <c r="A27" s="17" t="s">
        <v>27</v>
      </c>
      <c r="B27" s="18">
        <f>[25]SCF!C23</f>
        <v>326433807</v>
      </c>
      <c r="C27" s="18">
        <f>SUM(F27:K27)</f>
        <v>139228001.06999999</v>
      </c>
      <c r="D27" s="18">
        <f t="shared" si="1"/>
        <v>-187205805.93000001</v>
      </c>
      <c r="E27" s="19">
        <f t="shared" si="4"/>
        <v>-57.348780033068081</v>
      </c>
      <c r="F27" s="18">
        <f>[26]SCF!D23</f>
        <v>20734220.93</v>
      </c>
      <c r="G27" s="18">
        <f>[27]SCF!D23</f>
        <v>19632190.239999998</v>
      </c>
      <c r="H27" s="18">
        <f>[28]SCF!D23</f>
        <v>18762796.100000001</v>
      </c>
      <c r="I27" s="18">
        <f>[29]SCF!D23</f>
        <v>21908945.98</v>
      </c>
      <c r="J27" s="18">
        <f>[30]SCF!D23</f>
        <v>29186313.199999999</v>
      </c>
      <c r="K27" s="18">
        <f>[25]SCF!D23</f>
        <v>29003534.620000001</v>
      </c>
    </row>
    <row r="28" spans="1:11" ht="15" customHeight="1" x14ac:dyDescent="0.3">
      <c r="A28" s="17" t="s">
        <v>28</v>
      </c>
      <c r="B28" s="18">
        <f>[25]SCF!C24</f>
        <v>0</v>
      </c>
      <c r="C28" s="18">
        <f>SUM(F28:K28)</f>
        <v>0</v>
      </c>
      <c r="D28" s="18">
        <f t="shared" si="1"/>
        <v>0</v>
      </c>
      <c r="E28" s="19">
        <f t="shared" si="4"/>
        <v>0</v>
      </c>
      <c r="F28" s="18">
        <f>[26]SCF!D24</f>
        <v>0</v>
      </c>
      <c r="G28" s="18">
        <f>[27]SCF!D24</f>
        <v>0</v>
      </c>
      <c r="H28" s="18">
        <f>[28]SCF!D24</f>
        <v>0</v>
      </c>
      <c r="I28" s="18">
        <f>[29]SCF!D24</f>
        <v>0</v>
      </c>
      <c r="J28" s="18">
        <f>[30]SCF!D24</f>
        <v>0</v>
      </c>
      <c r="K28" s="18">
        <f>[25]SCF!D24</f>
        <v>0</v>
      </c>
    </row>
    <row r="29" spans="1:11" ht="15" customHeight="1" x14ac:dyDescent="0.3">
      <c r="A29" s="14" t="s">
        <v>29</v>
      </c>
      <c r="B29" s="15">
        <f>[25]SCF!C25</f>
        <v>12339925</v>
      </c>
      <c r="C29" s="15">
        <f>+C30+C31+C32</f>
        <v>7543676.7400000002</v>
      </c>
      <c r="D29" s="15">
        <f t="shared" si="1"/>
        <v>-4796248.26</v>
      </c>
      <c r="E29" s="16">
        <f t="shared" si="0"/>
        <v>-38.86772618148003</v>
      </c>
      <c r="F29" s="15">
        <f>[26]SCF!D25</f>
        <v>1312611.2</v>
      </c>
      <c r="G29" s="15">
        <f>[27]SCF!D25</f>
        <v>1109309.48</v>
      </c>
      <c r="H29" s="15">
        <f>[28]SCF!D25</f>
        <v>848306.28</v>
      </c>
      <c r="I29" s="15">
        <f>[29]SCF!D25</f>
        <v>1583373.93</v>
      </c>
      <c r="J29" s="15">
        <f>[30]SCF!D25</f>
        <v>559172.16</v>
      </c>
      <c r="K29" s="15">
        <f>[25]SCF!D25</f>
        <v>2130903.69</v>
      </c>
    </row>
    <row r="30" spans="1:11" ht="15" customHeight="1" x14ac:dyDescent="0.3">
      <c r="A30" s="17" t="s">
        <v>30</v>
      </c>
      <c r="B30" s="18">
        <f>[25]SCF!C26</f>
        <v>7918603</v>
      </c>
      <c r="C30" s="18">
        <f t="shared" ref="C30:C32" si="5">SUM(F30:K30)</f>
        <v>4536892.83</v>
      </c>
      <c r="D30" s="18">
        <f t="shared" si="1"/>
        <v>-3381710.17</v>
      </c>
      <c r="E30" s="19">
        <f t="shared" ref="E30:E32" si="6">IFERROR(+D30/B30*100,0)</f>
        <v>-42.705893577440364</v>
      </c>
      <c r="F30" s="18">
        <f>[26]SCF!D26</f>
        <v>556115.85</v>
      </c>
      <c r="G30" s="18">
        <f>[27]SCF!D26</f>
        <v>533356</v>
      </c>
      <c r="H30" s="18">
        <f>[28]SCF!D26</f>
        <v>703192.76</v>
      </c>
      <c r="I30" s="18">
        <f>[29]SCF!D26</f>
        <v>387959.07</v>
      </c>
      <c r="J30" s="18">
        <f>[30]SCF!D26</f>
        <v>425688.48</v>
      </c>
      <c r="K30" s="18">
        <f>[25]SCF!D26</f>
        <v>1930580.67</v>
      </c>
    </row>
    <row r="31" spans="1:11" ht="15" customHeight="1" x14ac:dyDescent="0.3">
      <c r="A31" s="17" t="s">
        <v>31</v>
      </c>
      <c r="B31" s="18">
        <f>[25]SCF!C27</f>
        <v>4421322</v>
      </c>
      <c r="C31" s="18">
        <f t="shared" si="5"/>
        <v>3006783.91</v>
      </c>
      <c r="D31" s="18">
        <f t="shared" si="1"/>
        <v>-1414538.0899999999</v>
      </c>
      <c r="E31" s="19">
        <f t="shared" si="6"/>
        <v>-31.993555095059801</v>
      </c>
      <c r="F31" s="18">
        <f>[26]SCF!D27</f>
        <v>756495.35</v>
      </c>
      <c r="G31" s="18">
        <f>[27]SCF!D27</f>
        <v>575953.48</v>
      </c>
      <c r="H31" s="18">
        <f>[28]SCF!D27</f>
        <v>145113.51999999999</v>
      </c>
      <c r="I31" s="18">
        <f>[29]SCF!D27</f>
        <v>1195414.8600000001</v>
      </c>
      <c r="J31" s="18">
        <f>[30]SCF!D27</f>
        <v>133483.68</v>
      </c>
      <c r="K31" s="18">
        <f>[25]SCF!D27</f>
        <v>200323.02</v>
      </c>
    </row>
    <row r="32" spans="1:11" x14ac:dyDescent="0.3">
      <c r="A32" s="17" t="s">
        <v>32</v>
      </c>
      <c r="B32" s="18">
        <f>[25]SCF!C28</f>
        <v>0</v>
      </c>
      <c r="C32" s="18">
        <f t="shared" si="5"/>
        <v>0</v>
      </c>
      <c r="D32" s="18">
        <f t="shared" si="1"/>
        <v>0</v>
      </c>
      <c r="E32" s="19">
        <f t="shared" si="6"/>
        <v>0</v>
      </c>
      <c r="F32" s="18">
        <f>[26]SCF!D28</f>
        <v>0</v>
      </c>
      <c r="G32" s="18">
        <f>[27]SCF!D28</f>
        <v>0</v>
      </c>
      <c r="H32" s="18">
        <f>[28]SCF!D28</f>
        <v>0</v>
      </c>
      <c r="I32" s="18">
        <f>[29]SCF!D28</f>
        <v>0</v>
      </c>
      <c r="J32" s="18">
        <f>[30]SCF!D28</f>
        <v>0</v>
      </c>
      <c r="K32" s="18">
        <f>[25]SCF!D28</f>
        <v>0</v>
      </c>
    </row>
    <row r="33" spans="1:11" x14ac:dyDescent="0.3">
      <c r="A33" s="14" t="s">
        <v>33</v>
      </c>
      <c r="B33" s="15">
        <f>[25]SCF!C29</f>
        <v>0</v>
      </c>
      <c r="C33" s="15">
        <f>+C34+C35+C36+C37</f>
        <v>0</v>
      </c>
      <c r="D33" s="15">
        <f t="shared" si="1"/>
        <v>0</v>
      </c>
      <c r="E33" s="16" t="e">
        <f t="shared" si="0"/>
        <v>#DIV/0!</v>
      </c>
      <c r="F33" s="15">
        <f>[26]SCF!D29</f>
        <v>0</v>
      </c>
      <c r="G33" s="15">
        <f>[27]SCF!D29</f>
        <v>0</v>
      </c>
      <c r="H33" s="15">
        <f>[28]SCF!D29</f>
        <v>0</v>
      </c>
      <c r="I33" s="15">
        <f>[29]SCF!D29</f>
        <v>0</v>
      </c>
      <c r="J33" s="15">
        <f>[30]SCF!D29</f>
        <v>0</v>
      </c>
      <c r="K33" s="15">
        <f>[25]SCF!D29</f>
        <v>0</v>
      </c>
    </row>
    <row r="34" spans="1:11" ht="15" customHeight="1" x14ac:dyDescent="0.3">
      <c r="A34" s="17" t="s">
        <v>34</v>
      </c>
      <c r="B34" s="18">
        <f>[25]SCF!C30</f>
        <v>0</v>
      </c>
      <c r="C34" s="18">
        <f t="shared" ref="C34:C41" si="7">SUM(F34:K34)</f>
        <v>0</v>
      </c>
      <c r="D34" s="18">
        <f t="shared" si="1"/>
        <v>0</v>
      </c>
      <c r="E34" s="19">
        <f t="shared" ref="E34:E41" si="8">IFERROR(+D34/B34*100,0)</f>
        <v>0</v>
      </c>
      <c r="F34" s="18">
        <f>[26]SCF!D30</f>
        <v>0</v>
      </c>
      <c r="G34" s="18">
        <f>[27]SCF!D30</f>
        <v>0</v>
      </c>
      <c r="H34" s="18">
        <f>[28]SCF!D30</f>
        <v>0</v>
      </c>
      <c r="I34" s="18">
        <f>[29]SCF!D30</f>
        <v>0</v>
      </c>
      <c r="J34" s="18">
        <f>[30]SCF!D30</f>
        <v>0</v>
      </c>
      <c r="K34" s="18">
        <f>[25]SCF!D30</f>
        <v>0</v>
      </c>
    </row>
    <row r="35" spans="1:11" ht="15" customHeight="1" x14ac:dyDescent="0.3">
      <c r="A35" s="17" t="s">
        <v>35</v>
      </c>
      <c r="B35" s="18">
        <f>[25]SCF!C31</f>
        <v>0</v>
      </c>
      <c r="C35" s="18">
        <f t="shared" si="7"/>
        <v>0</v>
      </c>
      <c r="D35" s="18">
        <f t="shared" si="1"/>
        <v>0</v>
      </c>
      <c r="E35" s="19">
        <f t="shared" si="8"/>
        <v>0</v>
      </c>
      <c r="F35" s="18">
        <f>[26]SCF!D31</f>
        <v>0</v>
      </c>
      <c r="G35" s="18">
        <f>[27]SCF!D31</f>
        <v>0</v>
      </c>
      <c r="H35" s="18">
        <f>[28]SCF!D31</f>
        <v>0</v>
      </c>
      <c r="I35" s="18">
        <f>[29]SCF!D31</f>
        <v>0</v>
      </c>
      <c r="J35" s="18">
        <f>[30]SCF!D31</f>
        <v>0</v>
      </c>
      <c r="K35" s="18">
        <f>[25]SCF!D31</f>
        <v>0</v>
      </c>
    </row>
    <row r="36" spans="1:11" ht="20.399999999999999" customHeight="1" x14ac:dyDescent="0.3">
      <c r="A36" s="17" t="s">
        <v>36</v>
      </c>
      <c r="B36" s="18">
        <f>[25]SCF!C32</f>
        <v>0</v>
      </c>
      <c r="C36" s="18">
        <f t="shared" si="7"/>
        <v>0</v>
      </c>
      <c r="D36" s="18">
        <f t="shared" si="1"/>
        <v>0</v>
      </c>
      <c r="E36" s="19">
        <f t="shared" si="8"/>
        <v>0</v>
      </c>
      <c r="F36" s="18">
        <f>[26]SCF!D32</f>
        <v>0</v>
      </c>
      <c r="G36" s="18">
        <f>[27]SCF!D32</f>
        <v>0</v>
      </c>
      <c r="H36" s="18">
        <f>[28]SCF!D32</f>
        <v>0</v>
      </c>
      <c r="I36" s="18">
        <f>[29]SCF!D32</f>
        <v>0</v>
      </c>
      <c r="J36" s="18">
        <f>[30]SCF!D32</f>
        <v>0</v>
      </c>
      <c r="K36" s="18">
        <f>[25]SCF!D32</f>
        <v>0</v>
      </c>
    </row>
    <row r="37" spans="1:11" ht="15" customHeight="1" x14ac:dyDescent="0.3">
      <c r="A37" s="17" t="s">
        <v>37</v>
      </c>
      <c r="B37" s="18">
        <f>[25]SCF!C33</f>
        <v>0</v>
      </c>
      <c r="C37" s="18">
        <f t="shared" si="7"/>
        <v>0</v>
      </c>
      <c r="D37" s="18">
        <f t="shared" si="1"/>
        <v>0</v>
      </c>
      <c r="E37" s="19">
        <f t="shared" si="8"/>
        <v>0</v>
      </c>
      <c r="F37" s="18">
        <f>[26]SCF!D33</f>
        <v>0</v>
      </c>
      <c r="G37" s="18">
        <f>[27]SCF!D33</f>
        <v>0</v>
      </c>
      <c r="H37" s="18">
        <f>[28]SCF!D33</f>
        <v>0</v>
      </c>
      <c r="I37" s="18">
        <f>[29]SCF!D33</f>
        <v>0</v>
      </c>
      <c r="J37" s="18">
        <f>[30]SCF!D33</f>
        <v>0</v>
      </c>
      <c r="K37" s="18">
        <f>[25]SCF!D33</f>
        <v>0</v>
      </c>
    </row>
    <row r="38" spans="1:11" x14ac:dyDescent="0.3">
      <c r="A38" s="24" t="s">
        <v>38</v>
      </c>
      <c r="B38" s="18">
        <f>[25]SCF!C34</f>
        <v>0</v>
      </c>
      <c r="C38" s="18">
        <f t="shared" si="7"/>
        <v>0</v>
      </c>
      <c r="D38" s="18">
        <f t="shared" si="1"/>
        <v>0</v>
      </c>
      <c r="E38" s="19">
        <f t="shared" si="8"/>
        <v>0</v>
      </c>
      <c r="F38" s="18">
        <f>[26]SCF!D34</f>
        <v>0</v>
      </c>
      <c r="G38" s="18">
        <f>[27]SCF!D34</f>
        <v>0</v>
      </c>
      <c r="H38" s="18">
        <f>[28]SCF!D34</f>
        <v>0</v>
      </c>
      <c r="I38" s="18">
        <f>[29]SCF!D34</f>
        <v>0</v>
      </c>
      <c r="J38" s="18">
        <f>[30]SCF!D34</f>
        <v>0</v>
      </c>
      <c r="K38" s="18">
        <f>[25]SCF!D34</f>
        <v>0</v>
      </c>
    </row>
    <row r="39" spans="1:11" ht="15" customHeight="1" x14ac:dyDescent="0.3">
      <c r="A39" s="24" t="s">
        <v>39</v>
      </c>
      <c r="B39" s="18">
        <f>[25]SCF!C35</f>
        <v>0</v>
      </c>
      <c r="C39" s="18">
        <f t="shared" si="7"/>
        <v>0</v>
      </c>
      <c r="D39" s="18">
        <f t="shared" si="1"/>
        <v>0</v>
      </c>
      <c r="E39" s="19">
        <f t="shared" si="8"/>
        <v>0</v>
      </c>
      <c r="F39" s="18">
        <f>[26]SCF!D35</f>
        <v>0</v>
      </c>
      <c r="G39" s="18">
        <f>[27]SCF!D35</f>
        <v>0</v>
      </c>
      <c r="H39" s="18">
        <f>[28]SCF!D35</f>
        <v>0</v>
      </c>
      <c r="I39" s="18">
        <f>[29]SCF!D35</f>
        <v>0</v>
      </c>
      <c r="J39" s="18">
        <f>[30]SCF!D35</f>
        <v>0</v>
      </c>
      <c r="K39" s="18">
        <f>[25]SCF!D35</f>
        <v>0</v>
      </c>
    </row>
    <row r="40" spans="1:11" ht="15" customHeight="1" x14ac:dyDescent="0.3">
      <c r="A40" s="24" t="s">
        <v>40</v>
      </c>
      <c r="B40" s="18">
        <f>[25]SCF!C36</f>
        <v>0</v>
      </c>
      <c r="C40" s="18">
        <f t="shared" si="7"/>
        <v>25207670.649999999</v>
      </c>
      <c r="D40" s="18">
        <f t="shared" si="1"/>
        <v>25207670.649999999</v>
      </c>
      <c r="E40" s="19">
        <f t="shared" si="8"/>
        <v>0</v>
      </c>
      <c r="F40" s="18">
        <f>[26]SCF!D36</f>
        <v>1158204.6200000001</v>
      </c>
      <c r="G40" s="18">
        <f>[27]SCF!D36</f>
        <v>15598743.369999999</v>
      </c>
      <c r="H40" s="18">
        <f>[28]SCF!D36</f>
        <v>4448066.37</v>
      </c>
      <c r="I40" s="18">
        <f>[29]SCF!D36</f>
        <v>1631113.56</v>
      </c>
      <c r="J40" s="18">
        <f>[30]SCF!D36</f>
        <v>1393171.03</v>
      </c>
      <c r="K40" s="18">
        <f>[25]SCF!D36</f>
        <v>978371.7</v>
      </c>
    </row>
    <row r="41" spans="1:11" ht="15" customHeight="1" x14ac:dyDescent="0.3">
      <c r="A41" s="24" t="s">
        <v>41</v>
      </c>
      <c r="B41" s="18">
        <f>[25]SCF!C37</f>
        <v>0</v>
      </c>
      <c r="C41" s="18">
        <f t="shared" si="7"/>
        <v>58800039.63000001</v>
      </c>
      <c r="D41" s="18">
        <f t="shared" si="1"/>
        <v>58800039.63000001</v>
      </c>
      <c r="E41" s="19">
        <f t="shared" si="8"/>
        <v>0</v>
      </c>
      <c r="F41" s="18">
        <f>[26]SCF!D37</f>
        <v>4433949.17</v>
      </c>
      <c r="G41" s="18">
        <f>[27]SCF!D37</f>
        <v>35486021.270000003</v>
      </c>
      <c r="H41" s="18">
        <f>[28]SCF!D37</f>
        <v>8433539.3300000001</v>
      </c>
      <c r="I41" s="18">
        <f>[29]SCF!D37</f>
        <v>1154961.71</v>
      </c>
      <c r="J41" s="18">
        <f>[30]SCF!D37</f>
        <v>2598178.31</v>
      </c>
      <c r="K41" s="18">
        <f>[25]SCF!D37</f>
        <v>6693389.8399999999</v>
      </c>
    </row>
    <row r="42" spans="1:11" ht="15" customHeight="1" x14ac:dyDescent="0.3">
      <c r="A42" s="25" t="s">
        <v>42</v>
      </c>
      <c r="B42" s="26">
        <f>[25]SCF!C38</f>
        <v>3369134578</v>
      </c>
      <c r="C42" s="27">
        <f>+C16+C29+C33+C38+C39+C40+C41</f>
        <v>2210131753.21</v>
      </c>
      <c r="D42" s="27">
        <f t="shared" si="1"/>
        <v>-1159002824.79</v>
      </c>
      <c r="E42" s="28">
        <f t="shared" si="0"/>
        <v>-34.400609354049969</v>
      </c>
      <c r="F42" s="27">
        <f>[26]SCF!D38</f>
        <v>349430982.68000001</v>
      </c>
      <c r="G42" s="27">
        <f>[27]SCF!D38</f>
        <v>354870835.86000001</v>
      </c>
      <c r="H42" s="27">
        <f>[28]SCF!D38</f>
        <v>310629133.23000002</v>
      </c>
      <c r="I42" s="27">
        <f t="shared" ref="I42" si="9">I16+I29+I33+I38+I39+I40+I41</f>
        <v>341283980.38</v>
      </c>
      <c r="J42" s="27">
        <f>[30]SCF!D38</f>
        <v>427890480.43000001</v>
      </c>
      <c r="K42" s="27">
        <f>[25]SCF!D38</f>
        <v>426026340.63</v>
      </c>
    </row>
    <row r="43" spans="1:11" ht="18" customHeight="1" x14ac:dyDescent="0.3">
      <c r="A43" s="29" t="s">
        <v>15</v>
      </c>
      <c r="B43" s="3"/>
      <c r="C43" s="3"/>
      <c r="D43" s="3"/>
      <c r="E43" s="3"/>
    </row>
    <row r="44" spans="1:11" ht="15" customHeight="1" x14ac:dyDescent="0.3">
      <c r="A44" s="10" t="s">
        <v>43</v>
      </c>
      <c r="B44" s="11" t="s">
        <v>15</v>
      </c>
      <c r="C44" s="12" t="s">
        <v>15</v>
      </c>
      <c r="D44" s="11" t="s">
        <v>15</v>
      </c>
      <c r="E44" s="13" t="s">
        <v>15</v>
      </c>
      <c r="F44" s="12" t="s">
        <v>15</v>
      </c>
      <c r="G44" s="12" t="s">
        <v>15</v>
      </c>
      <c r="H44" s="12" t="s">
        <v>15</v>
      </c>
      <c r="I44" s="12" t="s">
        <v>15</v>
      </c>
      <c r="J44" s="12" t="s">
        <v>15</v>
      </c>
      <c r="K44" s="12" t="s">
        <v>15</v>
      </c>
    </row>
    <row r="45" spans="1:11" ht="15" customHeight="1" x14ac:dyDescent="0.3">
      <c r="A45" s="24" t="s">
        <v>44</v>
      </c>
      <c r="B45" s="18">
        <f>[25]SCF!C41</f>
        <v>2203062871</v>
      </c>
      <c r="C45" s="18">
        <f>SUM(F45:K45)</f>
        <v>1517064330.3299999</v>
      </c>
      <c r="D45" s="18">
        <f>C45-B45</f>
        <v>-685998540.67000008</v>
      </c>
      <c r="E45" s="19">
        <f>IFERROR(+D45/B45*100,0)</f>
        <v>-31.138400528652006</v>
      </c>
      <c r="F45" s="18">
        <f>[26]SCF!D41</f>
        <v>262931977.81</v>
      </c>
      <c r="G45" s="18">
        <f>[27]SCF!D41</f>
        <v>187632766.22</v>
      </c>
      <c r="H45" s="18">
        <f>[28]SCF!D41</f>
        <v>279700505.13999999</v>
      </c>
      <c r="I45" s="18">
        <f>[29]SCF!D41</f>
        <v>162760916.93000001</v>
      </c>
      <c r="J45" s="18">
        <f>[30]SCF!D41</f>
        <v>308303932.98000002</v>
      </c>
      <c r="K45" s="18">
        <f>[25]SCF!D41</f>
        <v>315734231.25</v>
      </c>
    </row>
    <row r="46" spans="1:11" ht="15" customHeight="1" x14ac:dyDescent="0.3">
      <c r="A46" s="14" t="s">
        <v>45</v>
      </c>
      <c r="B46" s="15">
        <f>[25]SCF!C42</f>
        <v>473043340</v>
      </c>
      <c r="C46" s="15">
        <f>SUM(C47:C61)</f>
        <v>193546339.00000003</v>
      </c>
      <c r="D46" s="15">
        <f t="shared" ref="D46:D61" si="10">+B46-C46</f>
        <v>279497001</v>
      </c>
      <c r="E46" s="16">
        <f t="shared" ref="E46" si="11">+D46/B46*100</f>
        <v>59.084861230685547</v>
      </c>
      <c r="F46" s="15">
        <f>[26]SCF!D42</f>
        <v>38911482.939999998</v>
      </c>
      <c r="G46" s="15">
        <f>[27]SCF!D42</f>
        <v>39605113.920000002</v>
      </c>
      <c r="H46" s="15">
        <f>[28]SCF!D42</f>
        <v>32244688.57</v>
      </c>
      <c r="I46" s="15">
        <f>[29]SCF!D42</f>
        <v>23074839.989999998</v>
      </c>
      <c r="J46" s="15">
        <f>[30]SCF!D42</f>
        <v>37634189.350000001</v>
      </c>
      <c r="K46" s="15">
        <f>[25]SCF!D42</f>
        <v>22076024.23</v>
      </c>
    </row>
    <row r="47" spans="1:11" ht="15" customHeight="1" x14ac:dyDescent="0.3">
      <c r="A47" s="17" t="s">
        <v>46</v>
      </c>
      <c r="B47" s="18">
        <f>[25]SCF!C43</f>
        <v>135039702</v>
      </c>
      <c r="C47" s="18">
        <f t="shared" ref="C47:C61" si="12">SUM(F47:K47)</f>
        <v>57491000.740000002</v>
      </c>
      <c r="D47" s="18">
        <f t="shared" si="10"/>
        <v>77548701.25999999</v>
      </c>
      <c r="E47" s="19">
        <f t="shared" ref="E47:E61" si="13">IFERROR(+D47/B47*100,0)</f>
        <v>57.426593891624542</v>
      </c>
      <c r="F47" s="18">
        <f>[26]SCF!D43</f>
        <v>11491612.02</v>
      </c>
      <c r="G47" s="18">
        <f>[27]SCF!D43</f>
        <v>9320373.3900000006</v>
      </c>
      <c r="H47" s="18">
        <f>[28]SCF!D43</f>
        <v>8980286.1799999997</v>
      </c>
      <c r="I47" s="18">
        <f>[29]SCF!D43</f>
        <v>8029192.7599999998</v>
      </c>
      <c r="J47" s="18">
        <f>[30]SCF!D43</f>
        <v>10379747.99</v>
      </c>
      <c r="K47" s="18">
        <f>[25]SCF!D43</f>
        <v>9289788.4000000004</v>
      </c>
    </row>
    <row r="48" spans="1:11" ht="15" customHeight="1" x14ac:dyDescent="0.3">
      <c r="A48" s="17" t="s">
        <v>47</v>
      </c>
      <c r="B48" s="18">
        <f>[25]SCF!C44</f>
        <v>9600711</v>
      </c>
      <c r="C48" s="18">
        <f t="shared" si="12"/>
        <v>4852568.7</v>
      </c>
      <c r="D48" s="18">
        <f t="shared" si="10"/>
        <v>4748142.3</v>
      </c>
      <c r="E48" s="19">
        <f t="shared" si="13"/>
        <v>49.456152778684825</v>
      </c>
      <c r="F48" s="18">
        <f>[26]SCF!D44</f>
        <v>678920.57</v>
      </c>
      <c r="G48" s="18">
        <f>[27]SCF!D44</f>
        <v>825186.17</v>
      </c>
      <c r="H48" s="18">
        <f>[28]SCF!D44</f>
        <v>837320.35</v>
      </c>
      <c r="I48" s="18">
        <f>[29]SCF!D44</f>
        <v>836692.31</v>
      </c>
      <c r="J48" s="18">
        <f>[30]SCF!D44</f>
        <v>836047.4</v>
      </c>
      <c r="K48" s="18">
        <f>[25]SCF!D44</f>
        <v>838401.9</v>
      </c>
    </row>
    <row r="49" spans="1:11" ht="15" customHeight="1" x14ac:dyDescent="0.3">
      <c r="A49" s="17" t="s">
        <v>48</v>
      </c>
      <c r="B49" s="18">
        <f>[25]SCF!C45</f>
        <v>110423729</v>
      </c>
      <c r="C49" s="18">
        <f t="shared" si="12"/>
        <v>27587057.969999999</v>
      </c>
      <c r="D49" s="18">
        <f t="shared" si="10"/>
        <v>82836671.030000001</v>
      </c>
      <c r="E49" s="19">
        <f t="shared" si="13"/>
        <v>75.017092594291938</v>
      </c>
      <c r="F49" s="18">
        <f>[26]SCF!D45</f>
        <v>8051563.3300000001</v>
      </c>
      <c r="G49" s="18">
        <f>[27]SCF!D45</f>
        <v>8038722.0700000003</v>
      </c>
      <c r="H49" s="18">
        <f>[28]SCF!D45</f>
        <v>4879078.71</v>
      </c>
      <c r="I49" s="18">
        <f>[29]SCF!D45</f>
        <v>902820</v>
      </c>
      <c r="J49" s="18">
        <f>[30]SCF!D45</f>
        <v>1891282.31</v>
      </c>
      <c r="K49" s="18">
        <f>[25]SCF!D45</f>
        <v>3823591.55</v>
      </c>
    </row>
    <row r="50" spans="1:11" ht="15" customHeight="1" x14ac:dyDescent="0.3">
      <c r="A50" s="17" t="s">
        <v>49</v>
      </c>
      <c r="B50" s="18">
        <f>[25]SCF!C46</f>
        <v>4426600</v>
      </c>
      <c r="C50" s="18">
        <f t="shared" si="12"/>
        <v>1062530.6000000001</v>
      </c>
      <c r="D50" s="18">
        <f t="shared" si="10"/>
        <v>3364069.4</v>
      </c>
      <c r="E50" s="19">
        <f t="shared" si="13"/>
        <v>75.996688203135591</v>
      </c>
      <c r="F50" s="18">
        <f>[26]SCF!D46</f>
        <v>182351.53</v>
      </c>
      <c r="G50" s="18">
        <f>[27]SCF!D46</f>
        <v>231126.71</v>
      </c>
      <c r="H50" s="18">
        <f>[28]SCF!D46</f>
        <v>165517.70000000001</v>
      </c>
      <c r="I50" s="18">
        <f>[29]SCF!D46</f>
        <v>158957.04999999999</v>
      </c>
      <c r="J50" s="18">
        <f>[30]SCF!D46</f>
        <v>211021.29</v>
      </c>
      <c r="K50" s="18">
        <f>[25]SCF!D46</f>
        <v>113556.32</v>
      </c>
    </row>
    <row r="51" spans="1:11" ht="15" customHeight="1" x14ac:dyDescent="0.3">
      <c r="A51" s="17" t="s">
        <v>50</v>
      </c>
      <c r="B51" s="18">
        <f>[25]SCF!C47</f>
        <v>10392298</v>
      </c>
      <c r="C51" s="18">
        <f t="shared" si="12"/>
        <v>2383989.98</v>
      </c>
      <c r="D51" s="18">
        <f t="shared" si="10"/>
        <v>8008308.0199999996</v>
      </c>
      <c r="E51" s="19">
        <f t="shared" si="13"/>
        <v>77.060030611131438</v>
      </c>
      <c r="F51" s="18">
        <f>[26]SCF!D47</f>
        <v>202760.46</v>
      </c>
      <c r="G51" s="18">
        <f>[27]SCF!D47</f>
        <v>833615.17</v>
      </c>
      <c r="H51" s="18">
        <f>[28]SCF!D47</f>
        <v>474020.38</v>
      </c>
      <c r="I51" s="18">
        <f>[29]SCF!D47</f>
        <v>378656.51</v>
      </c>
      <c r="J51" s="18">
        <f>[30]SCF!D47</f>
        <v>199248.02</v>
      </c>
      <c r="K51" s="18">
        <f>[25]SCF!D47</f>
        <v>295689.44</v>
      </c>
    </row>
    <row r="52" spans="1:11" x14ac:dyDescent="0.3">
      <c r="A52" s="17" t="s">
        <v>51</v>
      </c>
      <c r="B52" s="18">
        <f>[25]SCF!C48</f>
        <v>1346400</v>
      </c>
      <c r="C52" s="18">
        <f t="shared" si="12"/>
        <v>1238399</v>
      </c>
      <c r="D52" s="18">
        <f t="shared" si="10"/>
        <v>108001</v>
      </c>
      <c r="E52" s="19">
        <f t="shared" si="13"/>
        <v>8.0214646464646453</v>
      </c>
      <c r="F52" s="18">
        <f>[26]SCF!D48</f>
        <v>536688.5</v>
      </c>
      <c r="G52" s="18">
        <f>[27]SCF!D48</f>
        <v>56947.5</v>
      </c>
      <c r="H52" s="18">
        <f>[28]SCF!D48</f>
        <v>279027.5</v>
      </c>
      <c r="I52" s="18">
        <f>[29]SCF!D48</f>
        <v>97915</v>
      </c>
      <c r="J52" s="18">
        <f>[30]SCF!D48</f>
        <v>158913</v>
      </c>
      <c r="K52" s="18">
        <f>[25]SCF!D48</f>
        <v>108907.5</v>
      </c>
    </row>
    <row r="53" spans="1:11" ht="15" customHeight="1" x14ac:dyDescent="0.3">
      <c r="A53" s="17" t="s">
        <v>52</v>
      </c>
      <c r="B53" s="18">
        <f>[25]SCF!C49</f>
        <v>16619547</v>
      </c>
      <c r="C53" s="18">
        <f t="shared" si="12"/>
        <v>4944382.87</v>
      </c>
      <c r="D53" s="18">
        <f t="shared" si="10"/>
        <v>11675164.129999999</v>
      </c>
      <c r="E53" s="19">
        <f t="shared" si="13"/>
        <v>70.249593024406735</v>
      </c>
      <c r="F53" s="18">
        <f>[26]SCF!D49</f>
        <v>1435121.7</v>
      </c>
      <c r="G53" s="18">
        <f>[27]SCF!D49</f>
        <v>619903.75</v>
      </c>
      <c r="H53" s="18">
        <f>[28]SCF!D49</f>
        <v>1126572.8700000001</v>
      </c>
      <c r="I53" s="18">
        <f>[29]SCF!D49</f>
        <v>798947.69</v>
      </c>
      <c r="J53" s="18">
        <f>[30]SCF!D49</f>
        <v>512745.48</v>
      </c>
      <c r="K53" s="18">
        <f>[25]SCF!D49</f>
        <v>451091.38</v>
      </c>
    </row>
    <row r="54" spans="1:11" ht="15" customHeight="1" x14ac:dyDescent="0.3">
      <c r="A54" s="17" t="s">
        <v>53</v>
      </c>
      <c r="B54" s="18">
        <f>[25]SCF!C50</f>
        <v>89344797</v>
      </c>
      <c r="C54" s="18">
        <f t="shared" si="12"/>
        <v>49007676.920000002</v>
      </c>
      <c r="D54" s="18">
        <f t="shared" si="10"/>
        <v>40337120.079999998</v>
      </c>
      <c r="E54" s="19">
        <f t="shared" si="13"/>
        <v>45.147699065229283</v>
      </c>
      <c r="F54" s="18">
        <f>[26]SCF!D50</f>
        <v>5396064.04</v>
      </c>
      <c r="G54" s="18">
        <f>[27]SCF!D50</f>
        <v>9644324.1199999992</v>
      </c>
      <c r="H54" s="18">
        <f>[28]SCF!D50</f>
        <v>7714897.6200000001</v>
      </c>
      <c r="I54" s="18">
        <f>[29]SCF!D50</f>
        <v>8860197.1999999993</v>
      </c>
      <c r="J54" s="18">
        <f>[30]SCF!D50</f>
        <v>14899309.720000001</v>
      </c>
      <c r="K54" s="18">
        <f>[25]SCF!D50</f>
        <v>2492884.2200000002</v>
      </c>
    </row>
    <row r="55" spans="1:11" ht="15" customHeight="1" x14ac:dyDescent="0.3">
      <c r="A55" s="17" t="s">
        <v>54</v>
      </c>
      <c r="B55" s="18">
        <f>[25]SCF!C51</f>
        <v>3372000</v>
      </c>
      <c r="C55" s="18">
        <f t="shared" si="12"/>
        <v>1475446.46</v>
      </c>
      <c r="D55" s="18">
        <f t="shared" si="10"/>
        <v>1896553.54</v>
      </c>
      <c r="E55" s="19">
        <f t="shared" si="13"/>
        <v>56.24417378410439</v>
      </c>
      <c r="F55" s="18">
        <f>[26]SCF!D51</f>
        <v>254723</v>
      </c>
      <c r="G55" s="18">
        <f>[27]SCF!D51</f>
        <v>240072.52</v>
      </c>
      <c r="H55" s="18">
        <f>[28]SCF!D51</f>
        <v>244539</v>
      </c>
      <c r="I55" s="18">
        <f>[29]SCF!D51</f>
        <v>207625.75</v>
      </c>
      <c r="J55" s="18">
        <f>[30]SCF!D51</f>
        <v>313486.19</v>
      </c>
      <c r="K55" s="18">
        <f>[25]SCF!D51</f>
        <v>215000</v>
      </c>
    </row>
    <row r="56" spans="1:11" ht="15" customHeight="1" x14ac:dyDescent="0.3">
      <c r="A56" s="17" t="s">
        <v>55</v>
      </c>
      <c r="B56" s="18">
        <f>[25]SCF!C52</f>
        <v>4071000</v>
      </c>
      <c r="C56" s="18">
        <f t="shared" si="12"/>
        <v>1706152.6400000001</v>
      </c>
      <c r="D56" s="18">
        <f t="shared" si="10"/>
        <v>2364847.36</v>
      </c>
      <c r="E56" s="19">
        <f t="shared" si="13"/>
        <v>58.090084991402605</v>
      </c>
      <c r="F56" s="18">
        <f>[26]SCF!D52</f>
        <v>276650</v>
      </c>
      <c r="G56" s="18">
        <f>[27]SCF!D52</f>
        <v>290780.5</v>
      </c>
      <c r="H56" s="18">
        <f>[28]SCF!D52</f>
        <v>290845</v>
      </c>
      <c r="I56" s="18">
        <f>[29]SCF!D52</f>
        <v>267850</v>
      </c>
      <c r="J56" s="18">
        <f>[30]SCF!D52</f>
        <v>292671.14</v>
      </c>
      <c r="K56" s="18">
        <f>[25]SCF!D52</f>
        <v>287356</v>
      </c>
    </row>
    <row r="57" spans="1:11" ht="15" customHeight="1" x14ac:dyDescent="0.3">
      <c r="A57" s="17" t="s">
        <v>56</v>
      </c>
      <c r="B57" s="18">
        <f>[25]SCF!C53</f>
        <v>18190000</v>
      </c>
      <c r="C57" s="18">
        <f t="shared" si="12"/>
        <v>9406763.3399999999</v>
      </c>
      <c r="D57" s="18">
        <f t="shared" si="10"/>
        <v>8783236.6600000001</v>
      </c>
      <c r="E57" s="19">
        <f t="shared" si="13"/>
        <v>48.286072897196263</v>
      </c>
      <c r="F57" s="18">
        <f>[26]SCF!D53</f>
        <v>1381288.68</v>
      </c>
      <c r="G57" s="18">
        <f>[27]SCF!D53</f>
        <v>3146614.18</v>
      </c>
      <c r="H57" s="18">
        <f>[28]SCF!D53</f>
        <v>1727289.49</v>
      </c>
      <c r="I57" s="18">
        <f>[29]SCF!D53</f>
        <v>513351.46</v>
      </c>
      <c r="J57" s="18">
        <f>[30]SCF!D53</f>
        <v>2124038.5299999998</v>
      </c>
      <c r="K57" s="18">
        <f>[25]SCF!D53</f>
        <v>514181</v>
      </c>
    </row>
    <row r="58" spans="1:11" ht="15" customHeight="1" x14ac:dyDescent="0.3">
      <c r="A58" s="17" t="s">
        <v>57</v>
      </c>
      <c r="B58" s="18">
        <f>[25]SCF!C54</f>
        <v>6916700</v>
      </c>
      <c r="C58" s="18">
        <f t="shared" si="12"/>
        <v>4629996.2699999996</v>
      </c>
      <c r="D58" s="18">
        <f t="shared" si="10"/>
        <v>2286703.7300000004</v>
      </c>
      <c r="E58" s="19">
        <f t="shared" si="13"/>
        <v>33.060617491000052</v>
      </c>
      <c r="F58" s="18">
        <f>[26]SCF!D54</f>
        <v>66516.06</v>
      </c>
      <c r="G58" s="18">
        <f>[27]SCF!D54</f>
        <v>717780.03</v>
      </c>
      <c r="H58" s="18">
        <f>[28]SCF!D54</f>
        <v>944311.14</v>
      </c>
      <c r="I58" s="18">
        <f>[29]SCF!D54</f>
        <v>1250566.47</v>
      </c>
      <c r="J58" s="18">
        <f>[30]SCF!D54</f>
        <v>908409.86</v>
      </c>
      <c r="K58" s="18">
        <f>[25]SCF!D54</f>
        <v>742412.71</v>
      </c>
    </row>
    <row r="59" spans="1:11" ht="15" customHeight="1" x14ac:dyDescent="0.3">
      <c r="A59" s="17" t="s">
        <v>58</v>
      </c>
      <c r="B59" s="18">
        <f>[25]SCF!C55</f>
        <v>55382000</v>
      </c>
      <c r="C59" s="18">
        <f t="shared" si="12"/>
        <v>21254020.100000001</v>
      </c>
      <c r="D59" s="18">
        <f t="shared" si="10"/>
        <v>34127979.899999999</v>
      </c>
      <c r="E59" s="19">
        <f t="shared" si="13"/>
        <v>61.622873677368098</v>
      </c>
      <c r="F59" s="18">
        <f>[26]SCF!D55</f>
        <v>8818755.1500000004</v>
      </c>
      <c r="G59" s="18">
        <f>[27]SCF!D55</f>
        <v>5497045.3099999996</v>
      </c>
      <c r="H59" s="18">
        <f>[28]SCF!D55</f>
        <v>3853637.98</v>
      </c>
      <c r="I59" s="18">
        <f>[29]SCF!D55</f>
        <v>776200.42</v>
      </c>
      <c r="J59" s="18">
        <f>[30]SCF!D55</f>
        <v>1670085.67</v>
      </c>
      <c r="K59" s="18">
        <f>[25]SCF!D55</f>
        <v>638295.56999999995</v>
      </c>
    </row>
    <row r="60" spans="1:11" ht="15" customHeight="1" x14ac:dyDescent="0.3">
      <c r="A60" s="17" t="s">
        <v>59</v>
      </c>
      <c r="B60" s="18">
        <f>[25]SCF!C56</f>
        <v>3417856</v>
      </c>
      <c r="C60" s="18">
        <f t="shared" si="12"/>
        <v>2514856.5499999998</v>
      </c>
      <c r="D60" s="18">
        <f t="shared" si="10"/>
        <v>902999.45000000019</v>
      </c>
      <c r="E60" s="19">
        <f t="shared" si="13"/>
        <v>26.420055438263056</v>
      </c>
      <c r="F60" s="18">
        <f>[26]SCF!D56</f>
        <v>59500</v>
      </c>
      <c r="G60" s="18">
        <f>[27]SCF!D56</f>
        <v>48677</v>
      </c>
      <c r="H60" s="18">
        <f>[28]SCF!D56</f>
        <v>351680</v>
      </c>
      <c r="I60" s="18">
        <f>[29]SCF!D56</f>
        <v>-9604</v>
      </c>
      <c r="J60" s="18">
        <f>[30]SCF!D56</f>
        <v>45331</v>
      </c>
      <c r="K60" s="18">
        <f>[25]SCF!D56</f>
        <v>2019272.55</v>
      </c>
    </row>
    <row r="61" spans="1:11" ht="15" customHeight="1" x14ac:dyDescent="0.3">
      <c r="A61" s="17" t="s">
        <v>60</v>
      </c>
      <c r="B61" s="18">
        <f>[25]SCF!C57</f>
        <v>4500000</v>
      </c>
      <c r="C61" s="18">
        <f t="shared" si="12"/>
        <v>3991496.86</v>
      </c>
      <c r="D61" s="18">
        <f t="shared" si="10"/>
        <v>508503.14000000013</v>
      </c>
      <c r="E61" s="19">
        <f t="shared" si="13"/>
        <v>11.300069777777781</v>
      </c>
      <c r="F61" s="18">
        <f>[26]SCF!D57</f>
        <v>78967.899999999994</v>
      </c>
      <c r="G61" s="18">
        <f>[27]SCF!D57</f>
        <v>93945.5</v>
      </c>
      <c r="H61" s="18">
        <f>[28]SCF!D57</f>
        <v>375664.65</v>
      </c>
      <c r="I61" s="18">
        <f>[29]SCF!D57</f>
        <v>5471.37</v>
      </c>
      <c r="J61" s="18">
        <f>[30]SCF!D57</f>
        <v>3191851.75</v>
      </c>
      <c r="K61" s="18">
        <f>[25]SCF!D57</f>
        <v>245595.69</v>
      </c>
    </row>
    <row r="62" spans="1:11" ht="15" customHeight="1" x14ac:dyDescent="0.3">
      <c r="A62" s="10" t="s">
        <v>61</v>
      </c>
      <c r="B62" s="11" t="s">
        <v>15</v>
      </c>
      <c r="C62" s="18"/>
      <c r="D62" s="11" t="s">
        <v>15</v>
      </c>
      <c r="E62" s="13" t="s">
        <v>15</v>
      </c>
      <c r="F62" s="12"/>
      <c r="G62" s="12"/>
      <c r="H62" s="12"/>
      <c r="I62" s="12"/>
      <c r="J62" s="12"/>
      <c r="K62" s="12"/>
    </row>
    <row r="63" spans="1:11" x14ac:dyDescent="0.3">
      <c r="A63" s="24" t="s">
        <v>62</v>
      </c>
      <c r="B63" s="18">
        <f>[25]SCF!C60</f>
        <v>0</v>
      </c>
      <c r="C63" s="18">
        <f t="shared" ref="C63:C64" si="14">SUM(F63:K63)</f>
        <v>0</v>
      </c>
      <c r="D63" s="18">
        <f t="shared" ref="D63:D67" si="15">C63-B63</f>
        <v>0</v>
      </c>
      <c r="E63" s="19">
        <f t="shared" ref="E63:E67" si="16">IFERROR(+D63/B63*100,0)</f>
        <v>0</v>
      </c>
      <c r="F63" s="18">
        <f>[26]SCF!D60</f>
        <v>0</v>
      </c>
      <c r="G63" s="18">
        <f>[27]SCF!D60</f>
        <v>0</v>
      </c>
      <c r="H63" s="18">
        <f>[28]SCF!D60</f>
        <v>0</v>
      </c>
      <c r="I63" s="18">
        <f>[29]SCF!D60</f>
        <v>0</v>
      </c>
      <c r="J63" s="18">
        <f>[30]SCF!D60</f>
        <v>0</v>
      </c>
      <c r="K63" s="18">
        <f>[25]SCF!D60</f>
        <v>0</v>
      </c>
    </row>
    <row r="64" spans="1:11" x14ac:dyDescent="0.3">
      <c r="A64" s="24" t="s">
        <v>63</v>
      </c>
      <c r="B64" s="18">
        <f>[25]SCF!C61</f>
        <v>0</v>
      </c>
      <c r="C64" s="18">
        <f t="shared" si="14"/>
        <v>0</v>
      </c>
      <c r="D64" s="18">
        <f t="shared" si="15"/>
        <v>0</v>
      </c>
      <c r="E64" s="19">
        <f t="shared" si="16"/>
        <v>0</v>
      </c>
      <c r="F64" s="18">
        <f>[26]SCF!D61</f>
        <v>0</v>
      </c>
      <c r="G64" s="18">
        <f>[27]SCF!D61</f>
        <v>0</v>
      </c>
      <c r="H64" s="18">
        <f>[28]SCF!D61</f>
        <v>0</v>
      </c>
      <c r="I64" s="18">
        <f>[29]SCF!D61</f>
        <v>0</v>
      </c>
      <c r="J64" s="18">
        <f>[30]SCF!D61</f>
        <v>0</v>
      </c>
      <c r="K64" s="18">
        <f>[25]SCF!D61</f>
        <v>0</v>
      </c>
    </row>
    <row r="65" spans="1:11" ht="15" customHeight="1" x14ac:dyDescent="0.3">
      <c r="A65" s="24" t="s">
        <v>64</v>
      </c>
      <c r="B65" s="18">
        <f>[25]SCF!C62</f>
        <v>0</v>
      </c>
      <c r="C65" s="18">
        <f>SUM(F65:K65)</f>
        <v>0</v>
      </c>
      <c r="D65" s="18">
        <f t="shared" si="15"/>
        <v>0</v>
      </c>
      <c r="E65" s="19">
        <f t="shared" si="16"/>
        <v>0</v>
      </c>
      <c r="F65" s="18">
        <f>[26]SCF!D62</f>
        <v>0</v>
      </c>
      <c r="G65" s="18">
        <f>[27]SCF!D62</f>
        <v>0</v>
      </c>
      <c r="H65" s="18">
        <f>[28]SCF!D62</f>
        <v>0</v>
      </c>
      <c r="I65" s="18">
        <f>[29]SCF!D62</f>
        <v>0</v>
      </c>
      <c r="J65" s="18">
        <f>[30]SCF!D62</f>
        <v>0</v>
      </c>
      <c r="K65" s="18">
        <f>[25]SCF!D62</f>
        <v>0</v>
      </c>
    </row>
    <row r="66" spans="1:11" ht="15" customHeight="1" x14ac:dyDescent="0.3">
      <c r="A66" s="24" t="s">
        <v>65</v>
      </c>
      <c r="B66" s="18">
        <f>[25]SCF!C63</f>
        <v>0</v>
      </c>
      <c r="C66" s="18">
        <f t="shared" ref="C66:C67" si="17">SUM(F66:K66)</f>
        <v>0</v>
      </c>
      <c r="D66" s="18">
        <f t="shared" si="15"/>
        <v>0</v>
      </c>
      <c r="E66" s="19">
        <f t="shared" si="16"/>
        <v>0</v>
      </c>
      <c r="F66" s="18">
        <f>[26]SCF!D63</f>
        <v>0</v>
      </c>
      <c r="G66" s="18">
        <f>[27]SCF!D63</f>
        <v>0</v>
      </c>
      <c r="H66" s="18">
        <f>[28]SCF!D63</f>
        <v>0</v>
      </c>
      <c r="I66" s="18">
        <f>[29]SCF!D63</f>
        <v>0</v>
      </c>
      <c r="J66" s="18">
        <f>[30]SCF!D63</f>
        <v>0</v>
      </c>
      <c r="K66" s="18">
        <f>[25]SCF!D63</f>
        <v>0</v>
      </c>
    </row>
    <row r="67" spans="1:11" ht="15" customHeight="1" x14ac:dyDescent="0.3">
      <c r="A67" s="24" t="s">
        <v>66</v>
      </c>
      <c r="B67" s="18">
        <f>[25]SCF!C64</f>
        <v>0</v>
      </c>
      <c r="C67" s="18">
        <f t="shared" si="17"/>
        <v>0</v>
      </c>
      <c r="D67" s="18">
        <f t="shared" si="15"/>
        <v>0</v>
      </c>
      <c r="E67" s="19">
        <f t="shared" si="16"/>
        <v>0</v>
      </c>
      <c r="F67" s="18">
        <f>[26]SCF!D64</f>
        <v>0</v>
      </c>
      <c r="G67" s="18">
        <f>[27]SCF!D64</f>
        <v>0</v>
      </c>
      <c r="H67" s="18">
        <f>[28]SCF!D64</f>
        <v>0</v>
      </c>
      <c r="I67" s="18">
        <f>[29]SCF!D64</f>
        <v>0</v>
      </c>
      <c r="J67" s="18">
        <f>[30]SCF!D64</f>
        <v>0</v>
      </c>
      <c r="K67" s="18">
        <f>[25]SCF!D64</f>
        <v>0</v>
      </c>
    </row>
    <row r="68" spans="1:11" ht="15" customHeight="1" x14ac:dyDescent="0.3">
      <c r="A68" s="30" t="s">
        <v>67</v>
      </c>
      <c r="B68" s="15">
        <f>+B63+B64+B65+B66+B67</f>
        <v>0</v>
      </c>
      <c r="C68" s="31">
        <f>+C63+C64+C65+C66+C67</f>
        <v>0</v>
      </c>
      <c r="D68" s="31">
        <f t="shared" ref="D68" si="18">+C68-B68</f>
        <v>0</v>
      </c>
      <c r="E68" s="32" t="e">
        <f t="shared" ref="E68" si="19">+D68/B68*100</f>
        <v>#DIV/0!</v>
      </c>
      <c r="F68" s="31">
        <f t="shared" ref="F68:K68" si="20">+F63+F64+F65+F66+F67</f>
        <v>0</v>
      </c>
      <c r="G68" s="31">
        <f>[27]SCF!D65</f>
        <v>0</v>
      </c>
      <c r="H68" s="31">
        <f t="shared" si="20"/>
        <v>0</v>
      </c>
      <c r="I68" s="31">
        <f t="shared" si="20"/>
        <v>0</v>
      </c>
      <c r="J68" s="31">
        <f t="shared" si="20"/>
        <v>0</v>
      </c>
      <c r="K68" s="31">
        <f t="shared" si="20"/>
        <v>0</v>
      </c>
    </row>
    <row r="69" spans="1:11" ht="15" customHeight="1" x14ac:dyDescent="0.3">
      <c r="A69" s="10" t="s">
        <v>68</v>
      </c>
      <c r="B69" s="11" t="s">
        <v>15</v>
      </c>
      <c r="C69" s="12" t="s">
        <v>15</v>
      </c>
      <c r="D69" s="11" t="s">
        <v>15</v>
      </c>
      <c r="E69" s="13" t="s">
        <v>15</v>
      </c>
      <c r="F69" s="12" t="s">
        <v>15</v>
      </c>
      <c r="G69" s="12" t="s">
        <v>15</v>
      </c>
      <c r="H69" s="12" t="s">
        <v>15</v>
      </c>
      <c r="I69" s="12" t="s">
        <v>15</v>
      </c>
      <c r="J69" s="12" t="s">
        <v>15</v>
      </c>
      <c r="K69" s="12" t="s">
        <v>15</v>
      </c>
    </row>
    <row r="70" spans="1:11" ht="15" customHeight="1" x14ac:dyDescent="0.3">
      <c r="A70" s="14" t="s">
        <v>69</v>
      </c>
      <c r="B70" s="15">
        <f>[25]SCF!C67</f>
        <v>75426895</v>
      </c>
      <c r="C70" s="15">
        <f>SUM(C71:C76)</f>
        <v>49146913.840000004</v>
      </c>
      <c r="D70" s="15">
        <f t="shared" ref="D70:D82" si="21">+C70-B70</f>
        <v>-26279981.159999996</v>
      </c>
      <c r="E70" s="16">
        <f t="shared" ref="E70:E82" si="22">+D70/B70*100</f>
        <v>-34.841658482693731</v>
      </c>
      <c r="F70" s="15">
        <f>[26]SCF!D67</f>
        <v>8906419.8100000005</v>
      </c>
      <c r="G70" s="15">
        <f>[27]SCF!D67</f>
        <v>6822170.0899999999</v>
      </c>
      <c r="H70" s="15">
        <f>[28]SCF!D67</f>
        <v>5968136.0999999996</v>
      </c>
      <c r="I70" s="15">
        <f>[29]SCF!D67</f>
        <v>6458969.9699999997</v>
      </c>
      <c r="J70" s="15">
        <f>[30]SCF!D67</f>
        <v>10736669.43</v>
      </c>
      <c r="K70" s="15">
        <f>[25]SCF!D67</f>
        <v>10254548.439999999</v>
      </c>
    </row>
    <row r="71" spans="1:11" ht="15" customHeight="1" x14ac:dyDescent="0.3">
      <c r="A71" s="17" t="s">
        <v>20</v>
      </c>
      <c r="B71" s="18">
        <f>[25]SCF!C68</f>
        <v>75426895</v>
      </c>
      <c r="C71" s="18">
        <f t="shared" ref="C71:C81" si="23">SUM(F71:K71)</f>
        <v>39221629.740000002</v>
      </c>
      <c r="D71" s="18">
        <f t="shared" si="21"/>
        <v>-36205265.259999998</v>
      </c>
      <c r="E71" s="19">
        <f t="shared" ref="E71:E81" si="24">IFERROR(+D71/B71*100,0)</f>
        <v>-48.000471529419308</v>
      </c>
      <c r="F71" s="18">
        <f>[26]SCF!D68</f>
        <v>7118021.5499999998</v>
      </c>
      <c r="G71" s="18">
        <f>[27]SCF!D68</f>
        <v>5429309.5999999996</v>
      </c>
      <c r="H71" s="18">
        <f>[28]SCF!D68</f>
        <v>4759938.67</v>
      </c>
      <c r="I71" s="18">
        <f>[29]SCF!D68</f>
        <v>5156788.8499999996</v>
      </c>
      <c r="J71" s="18">
        <f>[30]SCF!D68</f>
        <v>8566954.8499999996</v>
      </c>
      <c r="K71" s="18">
        <f>[25]SCF!D68</f>
        <v>8190616.2199999997</v>
      </c>
    </row>
    <row r="72" spans="1:11" ht="15" customHeight="1" x14ac:dyDescent="0.3">
      <c r="A72" s="17" t="s">
        <v>21</v>
      </c>
      <c r="B72" s="18">
        <f>[25]SCF!C69</f>
        <v>0</v>
      </c>
      <c r="C72" s="18">
        <f t="shared" si="23"/>
        <v>379195.72</v>
      </c>
      <c r="D72" s="18">
        <f t="shared" si="21"/>
        <v>379195.72</v>
      </c>
      <c r="E72" s="19">
        <f t="shared" si="24"/>
        <v>0</v>
      </c>
      <c r="F72" s="18">
        <f>[26]SCF!D69</f>
        <v>68323.72</v>
      </c>
      <c r="G72" s="18">
        <f>[27]SCF!D69</f>
        <v>53216.74</v>
      </c>
      <c r="H72" s="18">
        <f>[28]SCF!D69</f>
        <v>46165.01</v>
      </c>
      <c r="I72" s="18">
        <f>[29]SCF!D69</f>
        <v>49748.91</v>
      </c>
      <c r="J72" s="18">
        <f>[30]SCF!D69</f>
        <v>82890.429999999993</v>
      </c>
      <c r="K72" s="18">
        <f>[25]SCF!D69</f>
        <v>78850.91</v>
      </c>
    </row>
    <row r="73" spans="1:11" ht="15" customHeight="1" x14ac:dyDescent="0.3">
      <c r="A73" s="17" t="s">
        <v>22</v>
      </c>
      <c r="B73" s="18">
        <f>[25]SCF!C70</f>
        <v>0</v>
      </c>
      <c r="C73" s="18">
        <f t="shared" si="23"/>
        <v>38.769999999999996</v>
      </c>
      <c r="D73" s="18">
        <f t="shared" si="21"/>
        <v>38.769999999999996</v>
      </c>
      <c r="E73" s="19">
        <f t="shared" si="24"/>
        <v>0</v>
      </c>
      <c r="F73" s="18">
        <f>[26]SCF!D70</f>
        <v>4.47</v>
      </c>
      <c r="G73" s="18">
        <f>[27]SCF!D70</f>
        <v>2.74</v>
      </c>
      <c r="H73" s="18">
        <f>[28]SCF!D70</f>
        <v>4.5599999999999996</v>
      </c>
      <c r="I73" s="18">
        <f>[29]SCF!D70</f>
        <v>15.98</v>
      </c>
      <c r="J73" s="18">
        <f>[30]SCF!D70</f>
        <v>4.75</v>
      </c>
      <c r="K73" s="18">
        <f>[25]SCF!D70</f>
        <v>6.27</v>
      </c>
    </row>
    <row r="74" spans="1:11" ht="15" customHeight="1" x14ac:dyDescent="0.3">
      <c r="A74" s="17" t="s">
        <v>70</v>
      </c>
      <c r="B74" s="18">
        <f>[25]SCF!C71</f>
        <v>0</v>
      </c>
      <c r="C74" s="18">
        <f t="shared" si="23"/>
        <v>674.47</v>
      </c>
      <c r="D74" s="18">
        <f t="shared" si="21"/>
        <v>674.47</v>
      </c>
      <c r="E74" s="19">
        <f t="shared" si="24"/>
        <v>0</v>
      </c>
      <c r="F74" s="18">
        <f>[26]SCF!D71</f>
        <v>100.29</v>
      </c>
      <c r="G74" s="18">
        <f>[27]SCF!D71</f>
        <v>54.62</v>
      </c>
      <c r="H74" s="18">
        <f>[28]SCF!D71</f>
        <v>50.97</v>
      </c>
      <c r="I74" s="18">
        <f>[29]SCF!D71</f>
        <v>268.72000000000003</v>
      </c>
      <c r="J74" s="18">
        <f>[30]SCF!D71</f>
        <v>101.31</v>
      </c>
      <c r="K74" s="18">
        <f>[25]SCF!D71</f>
        <v>98.56</v>
      </c>
    </row>
    <row r="75" spans="1:11" ht="15" customHeight="1" x14ac:dyDescent="0.3">
      <c r="A75" s="17" t="s">
        <v>24</v>
      </c>
      <c r="B75" s="18">
        <f>[25]SCF!C72</f>
        <v>0</v>
      </c>
      <c r="C75" s="18">
        <f t="shared" si="23"/>
        <v>9545375.1399999987</v>
      </c>
      <c r="D75" s="18">
        <f t="shared" si="21"/>
        <v>9545375.1399999987</v>
      </c>
      <c r="E75" s="19">
        <f t="shared" si="24"/>
        <v>0</v>
      </c>
      <c r="F75" s="18">
        <f>[26]SCF!D72</f>
        <v>1719969.78</v>
      </c>
      <c r="G75" s="18">
        <f>[27]SCF!D72</f>
        <v>1339586.3899999999</v>
      </c>
      <c r="H75" s="18">
        <f>[28]SCF!D72</f>
        <v>1161976.8899999999</v>
      </c>
      <c r="I75" s="18">
        <f>[29]SCF!D72</f>
        <v>1252147.51</v>
      </c>
      <c r="J75" s="18">
        <f>[30]SCF!D72</f>
        <v>2086718.09</v>
      </c>
      <c r="K75" s="18">
        <f>[25]SCF!D72</f>
        <v>1984976.48</v>
      </c>
    </row>
    <row r="76" spans="1:11" ht="15" customHeight="1" x14ac:dyDescent="0.3">
      <c r="A76" s="17" t="s">
        <v>25</v>
      </c>
      <c r="B76" s="18">
        <f>[25]SCF!C73</f>
        <v>0</v>
      </c>
      <c r="C76" s="18">
        <f t="shared" si="23"/>
        <v>0</v>
      </c>
      <c r="D76" s="18">
        <f t="shared" si="21"/>
        <v>0</v>
      </c>
      <c r="E76" s="19">
        <f t="shared" si="24"/>
        <v>0</v>
      </c>
      <c r="F76" s="18">
        <f>[26]SCF!D73</f>
        <v>0</v>
      </c>
      <c r="G76" s="18">
        <f>[27]SCF!D73</f>
        <v>0</v>
      </c>
      <c r="H76" s="18">
        <f>[28]SCF!D73</f>
        <v>0</v>
      </c>
      <c r="I76" s="18">
        <f>[29]SCF!D73</f>
        <v>0</v>
      </c>
      <c r="J76" s="18">
        <f>[30]SCF!D73</f>
        <v>0</v>
      </c>
      <c r="K76" s="18">
        <f>[25]SCF!D73</f>
        <v>0</v>
      </c>
    </row>
    <row r="77" spans="1:11" x14ac:dyDescent="0.3">
      <c r="A77" s="24" t="s">
        <v>71</v>
      </c>
      <c r="B77" s="18">
        <f>[25]SCF!C74</f>
        <v>36717360</v>
      </c>
      <c r="C77" s="18">
        <f t="shared" si="23"/>
        <v>1078772.33</v>
      </c>
      <c r="D77" s="18">
        <f t="shared" ref="D77:D81" si="25">C77-B77</f>
        <v>-35638587.670000002</v>
      </c>
      <c r="E77" s="19">
        <f t="shared" si="24"/>
        <v>-97.061955625349967</v>
      </c>
      <c r="F77" s="18">
        <f>[26]SCF!D74</f>
        <v>1078772.33</v>
      </c>
      <c r="G77" s="18">
        <f>[27]SCF!D74</f>
        <v>0</v>
      </c>
      <c r="H77" s="18">
        <f>[28]SCF!D74</f>
        <v>0</v>
      </c>
      <c r="I77" s="18">
        <f>[29]SCF!D74</f>
        <v>0</v>
      </c>
      <c r="J77" s="18">
        <f>[30]SCF!D74</f>
        <v>0</v>
      </c>
      <c r="K77" s="18">
        <f>[25]SCF!D74</f>
        <v>0</v>
      </c>
    </row>
    <row r="78" spans="1:11" x14ac:dyDescent="0.3">
      <c r="A78" s="24" t="s">
        <v>72</v>
      </c>
      <c r="B78" s="18">
        <f>[25]SCF!C75</f>
        <v>326433807</v>
      </c>
      <c r="C78" s="18">
        <f t="shared" si="23"/>
        <v>94509087.129999995</v>
      </c>
      <c r="D78" s="18">
        <f t="shared" si="25"/>
        <v>-231924719.87</v>
      </c>
      <c r="E78" s="19">
        <f t="shared" si="24"/>
        <v>-71.048008783600039</v>
      </c>
      <c r="F78" s="18">
        <f>[26]SCF!D75</f>
        <v>16538014.51</v>
      </c>
      <c r="G78" s="18">
        <f>[27]SCF!D75</f>
        <v>9802621.7599999998</v>
      </c>
      <c r="H78" s="18">
        <f>[28]SCF!D75</f>
        <v>13925764.65</v>
      </c>
      <c r="I78" s="18">
        <f>[29]SCF!D75</f>
        <v>13767283.35</v>
      </c>
      <c r="J78" s="18">
        <f>[30]SCF!D75</f>
        <v>21431248.260000002</v>
      </c>
      <c r="K78" s="18">
        <f>[25]SCF!D75</f>
        <v>19044154.600000001</v>
      </c>
    </row>
    <row r="79" spans="1:11" ht="15" customHeight="1" x14ac:dyDescent="0.3">
      <c r="A79" s="24" t="s">
        <v>73</v>
      </c>
      <c r="B79" s="18">
        <f>[25]SCF!C76</f>
        <v>12000000</v>
      </c>
      <c r="C79" s="18">
        <f t="shared" si="23"/>
        <v>900</v>
      </c>
      <c r="D79" s="18">
        <f t="shared" si="25"/>
        <v>-11999100</v>
      </c>
      <c r="E79" s="19">
        <f t="shared" si="24"/>
        <v>-99.992499999999993</v>
      </c>
      <c r="F79" s="18">
        <f>[26]SCF!D76</f>
        <v>0</v>
      </c>
      <c r="G79" s="18">
        <f>[27]SCF!D76</f>
        <v>900</v>
      </c>
      <c r="H79" s="18">
        <f>[28]SCF!D76</f>
        <v>0</v>
      </c>
      <c r="I79" s="18">
        <f>[29]SCF!D76</f>
        <v>0</v>
      </c>
      <c r="J79" s="18">
        <f>[30]SCF!D76</f>
        <v>0</v>
      </c>
      <c r="K79" s="18">
        <f>[25]SCF!D76</f>
        <v>0</v>
      </c>
    </row>
    <row r="80" spans="1:11" x14ac:dyDescent="0.3">
      <c r="A80" s="24" t="s">
        <v>74</v>
      </c>
      <c r="B80" s="18">
        <f>[25]SCF!C77</f>
        <v>0</v>
      </c>
      <c r="C80" s="18">
        <f t="shared" si="23"/>
        <v>0</v>
      </c>
      <c r="D80" s="18">
        <f t="shared" si="25"/>
        <v>0</v>
      </c>
      <c r="E80" s="19">
        <f t="shared" si="24"/>
        <v>0</v>
      </c>
      <c r="F80" s="18">
        <f>[26]SCF!D77</f>
        <v>0</v>
      </c>
      <c r="G80" s="18">
        <f>[27]SCF!D77</f>
        <v>0</v>
      </c>
      <c r="H80" s="18">
        <f>[28]SCF!D77</f>
        <v>0</v>
      </c>
      <c r="I80" s="18">
        <f>[29]SCF!D77</f>
        <v>0</v>
      </c>
      <c r="J80" s="18">
        <f>[30]SCF!D77</f>
        <v>0</v>
      </c>
      <c r="K80" s="18">
        <f>[25]SCF!D77</f>
        <v>0</v>
      </c>
    </row>
    <row r="81" spans="1:11" x14ac:dyDescent="0.3">
      <c r="A81" s="24" t="s">
        <v>75</v>
      </c>
      <c r="B81" s="18">
        <f>[25]SCF!C78</f>
        <v>30000000</v>
      </c>
      <c r="C81" s="18">
        <f t="shared" si="23"/>
        <v>-4021704.12</v>
      </c>
      <c r="D81" s="18">
        <f t="shared" si="25"/>
        <v>-34021704.119999997</v>
      </c>
      <c r="E81" s="19">
        <f t="shared" si="24"/>
        <v>-113.40568039999998</v>
      </c>
      <c r="F81" s="18">
        <f>[26]SCF!D78</f>
        <v>0</v>
      </c>
      <c r="G81" s="18">
        <f>[27]SCF!D78</f>
        <v>0</v>
      </c>
      <c r="H81" s="18">
        <f>[28]SCF!D78</f>
        <v>3624836.73</v>
      </c>
      <c r="I81" s="18">
        <f>[29]SCF!D78</f>
        <v>-759660.1</v>
      </c>
      <c r="J81" s="18">
        <f>[30]SCF!D78</f>
        <v>-4270051.46</v>
      </c>
      <c r="K81" s="18">
        <f>[25]SCF!D78</f>
        <v>-2616829.29</v>
      </c>
    </row>
    <row r="82" spans="1:11" ht="15" customHeight="1" x14ac:dyDescent="0.3">
      <c r="A82" s="30" t="s">
        <v>76</v>
      </c>
      <c r="B82" s="15">
        <f>+B70+B77+B78+B79+B80+B81</f>
        <v>480578062</v>
      </c>
      <c r="C82" s="31">
        <f>+C70+C77+C78+C79+C80+C81</f>
        <v>140713969.18000001</v>
      </c>
      <c r="D82" s="31">
        <f t="shared" si="21"/>
        <v>-339864092.81999999</v>
      </c>
      <c r="E82" s="32">
        <f t="shared" si="22"/>
        <v>-70.719851714745971</v>
      </c>
      <c r="F82" s="31">
        <f t="shared" ref="F82:K82" si="26">+F70+F77+F78+F79+F80+F81</f>
        <v>26523206.649999999</v>
      </c>
      <c r="G82" s="31">
        <f t="shared" si="26"/>
        <v>16625691.85</v>
      </c>
      <c r="H82" s="31">
        <f t="shared" si="26"/>
        <v>23518737.48</v>
      </c>
      <c r="I82" s="31">
        <f t="shared" si="26"/>
        <v>19466593.219999999</v>
      </c>
      <c r="J82" s="31">
        <f t="shared" si="26"/>
        <v>27897866.23</v>
      </c>
      <c r="K82" s="31">
        <f t="shared" si="26"/>
        <v>26681873.75</v>
      </c>
    </row>
    <row r="83" spans="1:11" ht="15" customHeight="1" x14ac:dyDescent="0.3">
      <c r="A83" s="10" t="s">
        <v>77</v>
      </c>
      <c r="B83" s="11" t="s">
        <v>15</v>
      </c>
      <c r="C83" s="12" t="s">
        <v>15</v>
      </c>
      <c r="D83" s="11" t="s">
        <v>15</v>
      </c>
      <c r="E83" s="13" t="s">
        <v>15</v>
      </c>
      <c r="F83" s="12" t="s">
        <v>15</v>
      </c>
      <c r="G83" s="12" t="s">
        <v>15</v>
      </c>
      <c r="H83" s="12"/>
      <c r="I83" s="12" t="s">
        <v>15</v>
      </c>
      <c r="J83" s="12" t="s">
        <v>15</v>
      </c>
      <c r="K83" s="12"/>
    </row>
    <row r="84" spans="1:11" ht="15" customHeight="1" x14ac:dyDescent="0.3">
      <c r="A84" s="24" t="s">
        <v>78</v>
      </c>
      <c r="B84" s="18">
        <f>[25]SCF!C81</f>
        <v>0</v>
      </c>
      <c r="C84" s="18">
        <f t="shared" ref="C84:C86" si="27">SUM(F84:K84)</f>
        <v>1856497.67</v>
      </c>
      <c r="D84" s="18">
        <f t="shared" ref="D84:D88" si="28">+C84-B84</f>
        <v>1856497.67</v>
      </c>
      <c r="E84" s="19">
        <f t="shared" ref="E84:E86" si="29">IFERROR(+D84/B84*100,0)</f>
        <v>0</v>
      </c>
      <c r="F84" s="18">
        <f>[26]SCF!D81</f>
        <v>0</v>
      </c>
      <c r="G84" s="18">
        <f>[27]SCF!D81</f>
        <v>0</v>
      </c>
      <c r="H84" s="18">
        <f>[28]SCF!D81</f>
        <v>0</v>
      </c>
      <c r="I84" s="18">
        <f>[29]SCF!D81</f>
        <v>1856497.67</v>
      </c>
      <c r="J84" s="18">
        <f>[30]SCF!D81</f>
        <v>0</v>
      </c>
      <c r="K84" s="18">
        <f>[25]SCF!D81</f>
        <v>0</v>
      </c>
    </row>
    <row r="85" spans="1:11" ht="15" customHeight="1" x14ac:dyDescent="0.3">
      <c r="A85" s="24" t="s">
        <v>79</v>
      </c>
      <c r="B85" s="18">
        <f>[25]SCF!C82</f>
        <v>147747566</v>
      </c>
      <c r="C85" s="18">
        <f t="shared" si="27"/>
        <v>98063497.120000005</v>
      </c>
      <c r="D85" s="18">
        <f t="shared" si="28"/>
        <v>-49684068.879999995</v>
      </c>
      <c r="E85" s="19">
        <f t="shared" si="29"/>
        <v>-33.627673351992811</v>
      </c>
      <c r="F85" s="18">
        <f>[26]SCF!D82</f>
        <v>781995.52000000002</v>
      </c>
      <c r="G85" s="18">
        <f>[27]SCF!D82</f>
        <v>41731737.100000001</v>
      </c>
      <c r="H85" s="18">
        <f>[28]SCF!D82</f>
        <v>16842074.289999999</v>
      </c>
      <c r="I85" s="18">
        <f>[29]SCF!D82</f>
        <v>2216358.2000000002</v>
      </c>
      <c r="J85" s="18">
        <f>[30]SCF!D82</f>
        <v>26233915.890000001</v>
      </c>
      <c r="K85" s="18">
        <f>[25]SCF!D82</f>
        <v>10257416.119999999</v>
      </c>
    </row>
    <row r="86" spans="1:11" ht="15" customHeight="1" x14ac:dyDescent="0.3">
      <c r="A86" s="24" t="s">
        <v>80</v>
      </c>
      <c r="B86" s="18">
        <f>[25]SCF!C83</f>
        <v>121554447</v>
      </c>
      <c r="C86" s="18">
        <f t="shared" si="27"/>
        <v>9963148.0800000001</v>
      </c>
      <c r="D86" s="18">
        <f t="shared" si="28"/>
        <v>-111591298.92</v>
      </c>
      <c r="E86" s="19">
        <f t="shared" si="29"/>
        <v>-91.803551144451347</v>
      </c>
      <c r="F86" s="18">
        <f>[26]SCF!D83</f>
        <v>505811.52</v>
      </c>
      <c r="G86" s="18">
        <f>[27]SCF!D83</f>
        <v>2392212.54</v>
      </c>
      <c r="H86" s="18">
        <f>[28]SCF!D83</f>
        <v>43426.6</v>
      </c>
      <c r="I86" s="18">
        <f>[29]SCF!D83</f>
        <v>0</v>
      </c>
      <c r="J86" s="18">
        <f>[30]SCF!D83</f>
        <v>6040297.4199999999</v>
      </c>
      <c r="K86" s="18">
        <f>[25]SCF!D83</f>
        <v>981400</v>
      </c>
    </row>
    <row r="87" spans="1:11" ht="15" customHeight="1" x14ac:dyDescent="0.3">
      <c r="A87" s="30" t="s">
        <v>81</v>
      </c>
      <c r="B87" s="33">
        <f>+B84+B85+B86</f>
        <v>269302013</v>
      </c>
      <c r="C87" s="31">
        <f>+C84+C85+C86</f>
        <v>109883142.87</v>
      </c>
      <c r="D87" s="31">
        <f t="shared" si="28"/>
        <v>-159418870.13</v>
      </c>
      <c r="E87" s="32">
        <f>+D87/B87*100</f>
        <v>-59.197058482440681</v>
      </c>
      <c r="F87" s="31">
        <f t="shared" ref="F87:K87" si="30">+F84+F85+F86</f>
        <v>1287807.04</v>
      </c>
      <c r="G87" s="31">
        <f t="shared" si="30"/>
        <v>44123949.640000001</v>
      </c>
      <c r="H87" s="31">
        <f t="shared" si="30"/>
        <v>16885500.890000001</v>
      </c>
      <c r="I87" s="31">
        <f t="shared" si="30"/>
        <v>4072855.87</v>
      </c>
      <c r="J87" s="31">
        <f t="shared" si="30"/>
        <v>32274213.310000002</v>
      </c>
      <c r="K87" s="31">
        <f t="shared" si="30"/>
        <v>11238816.119999999</v>
      </c>
    </row>
    <row r="88" spans="1:11" ht="18" customHeight="1" x14ac:dyDescent="0.3">
      <c r="A88" s="25" t="s">
        <v>82</v>
      </c>
      <c r="B88" s="27">
        <f>+B45+B46+B68+B82+B87</f>
        <v>3425986286</v>
      </c>
      <c r="C88" s="27">
        <f>+C45+C46+C68+C82+C87</f>
        <v>1961207781.3800001</v>
      </c>
      <c r="D88" s="27">
        <f t="shared" si="28"/>
        <v>-1464778504.6199999</v>
      </c>
      <c r="E88" s="28">
        <f>+D88/B88*100</f>
        <v>-42.754943608668022</v>
      </c>
      <c r="F88" s="27">
        <f t="shared" ref="F88:K88" si="31">+F45+F46+F68+F82+F87</f>
        <v>329654474.44</v>
      </c>
      <c r="G88" s="27">
        <f t="shared" si="31"/>
        <v>287987521.63</v>
      </c>
      <c r="H88" s="27">
        <f t="shared" si="31"/>
        <v>352349432.07999998</v>
      </c>
      <c r="I88" s="27">
        <f t="shared" si="31"/>
        <v>209375206.01000002</v>
      </c>
      <c r="J88" s="27">
        <f t="shared" si="31"/>
        <v>406110201.87000006</v>
      </c>
      <c r="K88" s="27">
        <f t="shared" si="31"/>
        <v>375730945.35000002</v>
      </c>
    </row>
    <row r="89" spans="1:11" x14ac:dyDescent="0.3">
      <c r="A89" s="29" t="s">
        <v>15</v>
      </c>
      <c r="B89" s="3"/>
      <c r="C89" s="3"/>
      <c r="D89" s="3"/>
      <c r="E89" s="3"/>
    </row>
    <row r="90" spans="1:11" ht="15" customHeight="1" x14ac:dyDescent="0.3">
      <c r="A90" s="10" t="s">
        <v>83</v>
      </c>
      <c r="B90" s="11" t="s">
        <v>15</v>
      </c>
      <c r="C90" s="12" t="s">
        <v>15</v>
      </c>
      <c r="D90" s="11" t="s">
        <v>15</v>
      </c>
      <c r="E90" s="13" t="s">
        <v>15</v>
      </c>
      <c r="F90" s="12" t="s">
        <v>15</v>
      </c>
      <c r="G90" s="12" t="s">
        <v>15</v>
      </c>
      <c r="H90" s="12" t="s">
        <v>15</v>
      </c>
      <c r="I90" s="12" t="s">
        <v>15</v>
      </c>
      <c r="J90" s="12" t="s">
        <v>15</v>
      </c>
      <c r="K90" s="12" t="s">
        <v>15</v>
      </c>
    </row>
    <row r="91" spans="1:11" x14ac:dyDescent="0.3">
      <c r="A91" s="24" t="s">
        <v>84</v>
      </c>
      <c r="B91" s="18">
        <f>[25]SCF!C88</f>
        <v>0</v>
      </c>
      <c r="C91" s="18">
        <f t="shared" ref="C91:C97" si="32">SUM(F91:K91)</f>
        <v>35295487.300000004</v>
      </c>
      <c r="D91" s="18">
        <f t="shared" ref="D91:D98" si="33">+C91-B91</f>
        <v>35295487.300000004</v>
      </c>
      <c r="E91" s="19">
        <f>IFERROR(+D91/B91*100,0)</f>
        <v>0</v>
      </c>
      <c r="F91" s="18">
        <f>[26]SCF!D88</f>
        <v>5528815.2000000002</v>
      </c>
      <c r="G91" s="18">
        <f>[27]SCF!D88</f>
        <v>5247785.88</v>
      </c>
      <c r="H91" s="18">
        <f>[28]SCF!D88</f>
        <v>5427629.4800000004</v>
      </c>
      <c r="I91" s="18">
        <f>[29]SCF!D88</f>
        <v>5299699.45</v>
      </c>
      <c r="J91" s="18">
        <f>[30]SCF!D88</f>
        <v>6709504.1399999997</v>
      </c>
      <c r="K91" s="18">
        <f>[25]SCF!D88</f>
        <v>7082053.1500000004</v>
      </c>
    </row>
    <row r="92" spans="1:11" ht="15" customHeight="1" x14ac:dyDescent="0.3">
      <c r="A92" s="24" t="s">
        <v>85</v>
      </c>
      <c r="B92" s="18">
        <f>[25]SCF!C89</f>
        <v>30000000</v>
      </c>
      <c r="C92" s="18">
        <f t="shared" si="32"/>
        <v>0</v>
      </c>
      <c r="D92" s="18">
        <f t="shared" si="33"/>
        <v>-30000000</v>
      </c>
      <c r="E92" s="19">
        <f t="shared" ref="E92:E97" si="34">IFERROR(+D92/B92*100,0)</f>
        <v>-100</v>
      </c>
      <c r="F92" s="18">
        <f>[26]SCF!D89</f>
        <v>0</v>
      </c>
      <c r="G92" s="18">
        <f>[27]SCF!D89</f>
        <v>0</v>
      </c>
      <c r="H92" s="18">
        <f>[28]SCF!D89</f>
        <v>0</v>
      </c>
      <c r="I92" s="18">
        <f>[29]SCF!D89</f>
        <v>0</v>
      </c>
      <c r="J92" s="18">
        <f>[30]SCF!D89</f>
        <v>0</v>
      </c>
      <c r="K92" s="18">
        <f>[25]SCF!D89</f>
        <v>0</v>
      </c>
    </row>
    <row r="93" spans="1:11" ht="15" customHeight="1" x14ac:dyDescent="0.3">
      <c r="A93" s="24" t="s">
        <v>86</v>
      </c>
      <c r="B93" s="18">
        <f>[25]SCF!C90</f>
        <v>30000000</v>
      </c>
      <c r="C93" s="18">
        <f t="shared" si="32"/>
        <v>26930925</v>
      </c>
      <c r="D93" s="18">
        <f t="shared" si="33"/>
        <v>-3069075</v>
      </c>
      <c r="E93" s="19">
        <f t="shared" si="34"/>
        <v>-10.23025</v>
      </c>
      <c r="F93" s="18">
        <f>[26]SCF!D90</f>
        <v>133107.51999999999</v>
      </c>
      <c r="G93" s="18">
        <f>[27]SCF!D90</f>
        <v>23095514.199999999</v>
      </c>
      <c r="H93" s="18">
        <f>[28]SCF!D90</f>
        <v>358397.75</v>
      </c>
      <c r="I93" s="18">
        <f>[29]SCF!D90</f>
        <v>252999.71</v>
      </c>
      <c r="J93" s="18">
        <f>[30]SCF!D90</f>
        <v>155113.15</v>
      </c>
      <c r="K93" s="18">
        <f>[25]SCF!D90</f>
        <v>2935792.67</v>
      </c>
    </row>
    <row r="94" spans="1:11" ht="15" customHeight="1" x14ac:dyDescent="0.3">
      <c r="A94" s="24" t="s">
        <v>87</v>
      </c>
      <c r="B94" s="18">
        <f>[25]SCF!C91</f>
        <v>20000000</v>
      </c>
      <c r="C94" s="18">
        <f t="shared" si="32"/>
        <v>0</v>
      </c>
      <c r="D94" s="18">
        <f t="shared" si="33"/>
        <v>-20000000</v>
      </c>
      <c r="E94" s="19">
        <f t="shared" si="34"/>
        <v>-100</v>
      </c>
      <c r="F94" s="18">
        <f>[26]SCF!D91</f>
        <v>0</v>
      </c>
      <c r="G94" s="18">
        <f>[27]SCF!D91</f>
        <v>0</v>
      </c>
      <c r="H94" s="18">
        <f>[28]SCF!D91</f>
        <v>0</v>
      </c>
      <c r="I94" s="18">
        <f>[29]SCF!D91</f>
        <v>0</v>
      </c>
      <c r="J94" s="18">
        <f>[30]SCF!D91</f>
        <v>0</v>
      </c>
      <c r="K94" s="18">
        <f>[25]SCF!D91</f>
        <v>0</v>
      </c>
    </row>
    <row r="95" spans="1:11" ht="15" customHeight="1" x14ac:dyDescent="0.3">
      <c r="A95" s="24" t="s">
        <v>88</v>
      </c>
      <c r="B95" s="18">
        <f>[25]SCF!C92</f>
        <v>20000000</v>
      </c>
      <c r="C95" s="18">
        <f t="shared" si="32"/>
        <v>0</v>
      </c>
      <c r="D95" s="18">
        <f t="shared" si="33"/>
        <v>-20000000</v>
      </c>
      <c r="E95" s="19">
        <f t="shared" si="34"/>
        <v>-100</v>
      </c>
      <c r="F95" s="18">
        <f>[26]SCF!D92</f>
        <v>0</v>
      </c>
      <c r="G95" s="18">
        <f>[27]SCF!D92</f>
        <v>0</v>
      </c>
      <c r="H95" s="18">
        <f>[28]SCF!D92</f>
        <v>0</v>
      </c>
      <c r="I95" s="18">
        <f>[29]SCF!D92</f>
        <v>0</v>
      </c>
      <c r="J95" s="18">
        <f>[30]SCF!D92</f>
        <v>0</v>
      </c>
      <c r="K95" s="18">
        <f>[25]SCF!D92</f>
        <v>0</v>
      </c>
    </row>
    <row r="96" spans="1:11" ht="15" customHeight="1" x14ac:dyDescent="0.3">
      <c r="A96" s="24" t="s">
        <v>89</v>
      </c>
      <c r="B96" s="18">
        <f>[25]SCF!C93</f>
        <v>0</v>
      </c>
      <c r="C96" s="18">
        <f t="shared" si="32"/>
        <v>0</v>
      </c>
      <c r="D96" s="18">
        <f t="shared" si="33"/>
        <v>0</v>
      </c>
      <c r="E96" s="19">
        <f t="shared" si="34"/>
        <v>0</v>
      </c>
      <c r="F96" s="18">
        <f>[26]SCF!D93</f>
        <v>0</v>
      </c>
      <c r="G96" s="18">
        <f>[27]SCF!D93</f>
        <v>0</v>
      </c>
      <c r="H96" s="18">
        <f>[28]SCF!D93</f>
        <v>0</v>
      </c>
      <c r="I96" s="18">
        <f>[29]SCF!D93</f>
        <v>0</v>
      </c>
      <c r="J96" s="18">
        <f>[30]SCF!D93</f>
        <v>0</v>
      </c>
      <c r="K96" s="18">
        <f>[25]SCF!D93</f>
        <v>0</v>
      </c>
    </row>
    <row r="97" spans="1:11" x14ac:dyDescent="0.3">
      <c r="A97" s="24" t="s">
        <v>90</v>
      </c>
      <c r="B97" s="18">
        <f>[25]SCF!C94</f>
        <v>0</v>
      </c>
      <c r="C97" s="18">
        <f t="shared" si="32"/>
        <v>0</v>
      </c>
      <c r="D97" s="18">
        <f t="shared" si="33"/>
        <v>0</v>
      </c>
      <c r="E97" s="19">
        <f t="shared" si="34"/>
        <v>0</v>
      </c>
      <c r="F97" s="18">
        <f>[26]SCF!D94</f>
        <v>0</v>
      </c>
      <c r="G97" s="18">
        <f>[27]SCF!D94</f>
        <v>0</v>
      </c>
      <c r="H97" s="18">
        <f>[28]SCF!D94</f>
        <v>0</v>
      </c>
      <c r="I97" s="18">
        <f>[29]SCF!D94</f>
        <v>0</v>
      </c>
      <c r="J97" s="18">
        <f>[30]SCF!D94</f>
        <v>0</v>
      </c>
      <c r="K97" s="18">
        <f>[25]SCF!D94</f>
        <v>0</v>
      </c>
    </row>
    <row r="98" spans="1:11" ht="15" customHeight="1" x14ac:dyDescent="0.3">
      <c r="A98" s="30" t="s">
        <v>91</v>
      </c>
      <c r="B98" s="33">
        <f>SUM(B91:B97)</f>
        <v>100000000</v>
      </c>
      <c r="C98" s="31">
        <f>SUM(C91:C97)</f>
        <v>62226412.300000004</v>
      </c>
      <c r="D98" s="31">
        <f t="shared" si="33"/>
        <v>-37773587.699999996</v>
      </c>
      <c r="E98" s="32">
        <f t="shared" ref="E98" si="35">+D98/B98*100</f>
        <v>-37.773587699999993</v>
      </c>
      <c r="F98" s="31">
        <f>[26]SCF!D95</f>
        <v>5661922.7199999997</v>
      </c>
      <c r="G98" s="31">
        <f t="shared" ref="G98:K98" si="36">SUM(G91:G97)</f>
        <v>28343300.079999998</v>
      </c>
      <c r="H98" s="31">
        <f t="shared" si="36"/>
        <v>5786027.2300000004</v>
      </c>
      <c r="I98" s="31">
        <f t="shared" si="36"/>
        <v>5552699.1600000001</v>
      </c>
      <c r="J98" s="31">
        <f t="shared" si="36"/>
        <v>6864617.29</v>
      </c>
      <c r="K98" s="31">
        <f t="shared" si="36"/>
        <v>10017845.82</v>
      </c>
    </row>
    <row r="99" spans="1:11" ht="15" customHeight="1" x14ac:dyDescent="0.3">
      <c r="A99" s="34" t="s">
        <v>92</v>
      </c>
      <c r="B99" s="35">
        <f>+B42-B88-B98</f>
        <v>-156851708</v>
      </c>
      <c r="C99" s="36">
        <f>+C42-C88-C98</f>
        <v>186697559.52999991</v>
      </c>
      <c r="D99" s="37" t="s">
        <v>15</v>
      </c>
      <c r="E99" s="38" t="s">
        <v>15</v>
      </c>
      <c r="F99" s="36">
        <f t="shared" ref="F99:K99" si="37">+F42-F88-F98</f>
        <v>14114585.520000011</v>
      </c>
      <c r="G99" s="36">
        <f t="shared" si="37"/>
        <v>38540014.150000021</v>
      </c>
      <c r="H99" s="36">
        <f t="shared" si="37"/>
        <v>-47506326.079999968</v>
      </c>
      <c r="I99" s="36">
        <f t="shared" si="37"/>
        <v>126356075.20999998</v>
      </c>
      <c r="J99" s="36">
        <f t="shared" si="37"/>
        <v>14915661.269999944</v>
      </c>
      <c r="K99" s="36">
        <f t="shared" si="37"/>
        <v>40277549.459999971</v>
      </c>
    </row>
    <row r="100" spans="1:11" ht="15" customHeight="1" x14ac:dyDescent="0.3">
      <c r="A100" s="39" t="s">
        <v>93</v>
      </c>
      <c r="B100" s="18">
        <f>[25]SCF!$C$97</f>
        <v>637358749</v>
      </c>
      <c r="C100" s="18">
        <f>F100</f>
        <v>800559575.25</v>
      </c>
      <c r="D100" s="40" t="s">
        <v>15</v>
      </c>
      <c r="E100" s="41" t="s">
        <v>15</v>
      </c>
      <c r="F100" s="18">
        <f>[26]SCF!$D$97</f>
        <v>800559575.25</v>
      </c>
      <c r="G100" s="18">
        <f>F101</f>
        <v>814674160.76999998</v>
      </c>
      <c r="H100" s="18">
        <f>G101</f>
        <v>853214174.91999996</v>
      </c>
      <c r="I100" s="18">
        <f>H101</f>
        <v>805707848.84000003</v>
      </c>
      <c r="J100" s="18">
        <f t="shared" ref="J100:K100" si="38">I101</f>
        <v>932063924.04999995</v>
      </c>
      <c r="K100" s="18">
        <f t="shared" si="38"/>
        <v>946979585.31999993</v>
      </c>
    </row>
    <row r="101" spans="1:11" ht="15" customHeight="1" x14ac:dyDescent="0.3">
      <c r="A101" s="34" t="s">
        <v>94</v>
      </c>
      <c r="B101" s="35">
        <f>B99+B100</f>
        <v>480507041</v>
      </c>
      <c r="C101" s="36">
        <f>C99+C100</f>
        <v>987257134.77999997</v>
      </c>
      <c r="D101" s="42" t="s">
        <v>15</v>
      </c>
      <c r="E101" s="43" t="s">
        <v>15</v>
      </c>
      <c r="F101" s="36">
        <f t="shared" ref="F101:K101" si="39">F99+F100</f>
        <v>814674160.76999998</v>
      </c>
      <c r="G101" s="36">
        <f t="shared" si="39"/>
        <v>853214174.91999996</v>
      </c>
      <c r="H101" s="36">
        <f t="shared" si="39"/>
        <v>805707848.84000003</v>
      </c>
      <c r="I101" s="36">
        <f t="shared" si="39"/>
        <v>932063924.04999995</v>
      </c>
      <c r="J101" s="36">
        <f t="shared" si="39"/>
        <v>946979585.31999993</v>
      </c>
      <c r="K101" s="36">
        <f t="shared" si="39"/>
        <v>987257134.77999985</v>
      </c>
    </row>
    <row r="102" spans="1:11" x14ac:dyDescent="0.3">
      <c r="F102" s="44">
        <f>[26]SCF!$D$98</f>
        <v>814674160.76999998</v>
      </c>
      <c r="G102" s="44">
        <f>[27]SCF!$D$98</f>
        <v>853214174.91999996</v>
      </c>
      <c r="H102" s="44">
        <f>[28]SCF!$D$98</f>
        <v>805707848.84000003</v>
      </c>
      <c r="I102" s="44">
        <f>[29]SCF!$D$98</f>
        <v>932063924.04999995</v>
      </c>
      <c r="J102" s="44">
        <f>[30]SCF!$D$98</f>
        <v>946979585.32000005</v>
      </c>
      <c r="K102" s="44">
        <f>[25]SCF!$D$98</f>
        <v>987257134.77999997</v>
      </c>
    </row>
    <row r="103" spans="1:11" x14ac:dyDescent="0.3">
      <c r="F103" s="44">
        <f t="shared" ref="F103:K103" si="40">+F101-F102</f>
        <v>0</v>
      </c>
      <c r="G103" s="44">
        <f t="shared" si="40"/>
        <v>0</v>
      </c>
      <c r="H103" s="44">
        <f t="shared" si="40"/>
        <v>0</v>
      </c>
      <c r="I103" s="44">
        <f t="shared" si="40"/>
        <v>0</v>
      </c>
      <c r="J103" s="44">
        <f t="shared" si="40"/>
        <v>0</v>
      </c>
      <c r="K103" s="44">
        <f t="shared" si="40"/>
        <v>0</v>
      </c>
    </row>
  </sheetData>
  <mergeCells count="7">
    <mergeCell ref="A89:E89"/>
    <mergeCell ref="A2:A11"/>
    <mergeCell ref="B2:D2"/>
    <mergeCell ref="E4:G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PELCO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+[31]SCF!$C$2</f>
        <v>PELCO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14</v>
      </c>
      <c r="B15" s="11" t="s">
        <v>15</v>
      </c>
      <c r="C15" s="12" t="s">
        <v>15</v>
      </c>
      <c r="D15" s="11" t="s">
        <v>15</v>
      </c>
      <c r="E15" s="13" t="s">
        <v>15</v>
      </c>
    </row>
    <row r="16" spans="1:5" ht="15" customHeight="1" x14ac:dyDescent="0.3">
      <c r="A16" s="14" t="s">
        <v>16</v>
      </c>
      <c r="B16" s="15">
        <f>[31]SCF!C12</f>
        <v>9479899877.5100002</v>
      </c>
      <c r="C16" s="15">
        <v>4276714608.2400002</v>
      </c>
      <c r="D16" s="15">
        <f>+C16-B16</f>
        <v>-5203185269.2700005</v>
      </c>
      <c r="E16" s="16">
        <f t="shared" ref="E16:E42" si="0">+D16/B16*100</f>
        <v>-54.88650024262359</v>
      </c>
    </row>
    <row r="17" spans="1:5" ht="15" customHeight="1" x14ac:dyDescent="0.3">
      <c r="A17" s="17" t="s">
        <v>17</v>
      </c>
      <c r="B17" s="18">
        <f>[31]SCF!C13</f>
        <v>8763918339.8099995</v>
      </c>
      <c r="C17" s="18">
        <v>3989258382.2599998</v>
      </c>
      <c r="D17" s="18">
        <f t="shared" ref="D17:D42" si="1">+C17-B17</f>
        <v>-4774659957.5499992</v>
      </c>
      <c r="E17" s="19">
        <f t="shared" ref="E17:E18" si="2">IFERROR(+D17/B17*100,0)</f>
        <v>-54.480881409644823</v>
      </c>
    </row>
    <row r="18" spans="1:5" ht="15" customHeight="1" x14ac:dyDescent="0.3">
      <c r="A18" s="17" t="s">
        <v>18</v>
      </c>
      <c r="B18" s="18">
        <f>[31]SCF!C14</f>
        <v>159602673.72</v>
      </c>
      <c r="C18" s="18">
        <v>66912035.090000004</v>
      </c>
      <c r="D18" s="18">
        <f t="shared" si="1"/>
        <v>-92690638.629999995</v>
      </c>
      <c r="E18" s="19">
        <f t="shared" si="2"/>
        <v>-58.075868323241522</v>
      </c>
    </row>
    <row r="19" spans="1:5" ht="15" customHeight="1" x14ac:dyDescent="0.3">
      <c r="A19" s="20" t="s">
        <v>19</v>
      </c>
      <c r="B19" s="15">
        <f>[31]SCF!C15</f>
        <v>146192892.08000001</v>
      </c>
      <c r="C19" s="21">
        <v>78700520.320000008</v>
      </c>
      <c r="D19" s="21">
        <f t="shared" si="1"/>
        <v>-67492371.760000005</v>
      </c>
      <c r="E19" s="22">
        <f t="shared" si="0"/>
        <v>-46.166657489111493</v>
      </c>
    </row>
    <row r="20" spans="1:5" ht="15" customHeight="1" x14ac:dyDescent="0.3">
      <c r="A20" s="23" t="s">
        <v>20</v>
      </c>
      <c r="B20" s="18">
        <f>[31]SCF!C16</f>
        <v>113138387.64</v>
      </c>
      <c r="C20" s="18">
        <v>63754460.330000006</v>
      </c>
      <c r="D20" s="18">
        <f t="shared" si="1"/>
        <v>-49383927.309999995</v>
      </c>
      <c r="E20" s="19">
        <f t="shared" ref="E20:E28" si="3">IFERROR(+D20/B20*100,0)</f>
        <v>-43.64913478097008</v>
      </c>
    </row>
    <row r="21" spans="1:5" ht="15" customHeight="1" x14ac:dyDescent="0.3">
      <c r="A21" s="23" t="s">
        <v>21</v>
      </c>
      <c r="B21" s="18">
        <f>[31]SCF!C17</f>
        <v>1304137.43</v>
      </c>
      <c r="C21" s="18">
        <v>570884.80999999994</v>
      </c>
      <c r="D21" s="18">
        <f t="shared" si="1"/>
        <v>-733252.62</v>
      </c>
      <c r="E21" s="19">
        <f t="shared" si="3"/>
        <v>-56.225103515355748</v>
      </c>
    </row>
    <row r="22" spans="1:5" ht="15" customHeight="1" x14ac:dyDescent="0.3">
      <c r="A22" s="23" t="s">
        <v>22</v>
      </c>
      <c r="B22" s="18">
        <f>[31]SCF!C18</f>
        <v>17483.8</v>
      </c>
      <c r="C22" s="18">
        <v>1053.9299999999998</v>
      </c>
      <c r="D22" s="18">
        <f t="shared" si="1"/>
        <v>-16429.87</v>
      </c>
      <c r="E22" s="19">
        <f t="shared" si="3"/>
        <v>-93.971962616822424</v>
      </c>
    </row>
    <row r="23" spans="1:5" ht="15" customHeight="1" x14ac:dyDescent="0.3">
      <c r="A23" s="23" t="s">
        <v>23</v>
      </c>
      <c r="B23" s="18">
        <f>[31]SCF!C19</f>
        <v>431701.74</v>
      </c>
      <c r="C23" s="18">
        <v>13074.210000000001</v>
      </c>
      <c r="D23" s="18">
        <f t="shared" si="1"/>
        <v>-418627.52999999997</v>
      </c>
      <c r="E23" s="19">
        <f t="shared" si="3"/>
        <v>-96.971471553485046</v>
      </c>
    </row>
    <row r="24" spans="1:5" ht="15" customHeight="1" x14ac:dyDescent="0.3">
      <c r="A24" s="23" t="s">
        <v>24</v>
      </c>
      <c r="B24" s="18">
        <f>[31]SCF!C20</f>
        <v>31301181.469999999</v>
      </c>
      <c r="C24" s="18">
        <v>14361047.040000001</v>
      </c>
      <c r="D24" s="18">
        <f t="shared" si="1"/>
        <v>-16940134.43</v>
      </c>
      <c r="E24" s="19">
        <f t="shared" si="3"/>
        <v>-54.119792399005576</v>
      </c>
    </row>
    <row r="25" spans="1:5" ht="15" customHeight="1" x14ac:dyDescent="0.3">
      <c r="A25" s="23" t="s">
        <v>25</v>
      </c>
      <c r="B25" s="18">
        <f>[31]SCF!C21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26</v>
      </c>
      <c r="B26" s="18">
        <f>[31]SCF!C22</f>
        <v>72044899.510000005</v>
      </c>
      <c r="C26" s="18">
        <v>315943.14999999997</v>
      </c>
      <c r="D26" s="18">
        <f t="shared" si="1"/>
        <v>-71728956.359999999</v>
      </c>
      <c r="E26" s="19">
        <f t="shared" si="3"/>
        <v>-99.561463542667369</v>
      </c>
    </row>
    <row r="27" spans="1:5" ht="15" customHeight="1" x14ac:dyDescent="0.3">
      <c r="A27" s="17" t="s">
        <v>27</v>
      </c>
      <c r="B27" s="18">
        <f>[31]SCF!C23</f>
        <v>338141072.38999999</v>
      </c>
      <c r="C27" s="18">
        <v>141527727.41999999</v>
      </c>
      <c r="D27" s="18">
        <f t="shared" si="1"/>
        <v>-196613344.97</v>
      </c>
      <c r="E27" s="19">
        <f t="shared" si="3"/>
        <v>-58.145360331510723</v>
      </c>
    </row>
    <row r="28" spans="1:5" ht="15" customHeight="1" x14ac:dyDescent="0.3">
      <c r="A28" s="17" t="s">
        <v>28</v>
      </c>
      <c r="B28" s="18">
        <f>[31]SCF!C24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29</v>
      </c>
      <c r="B29" s="15">
        <f>[31]SCF!C25</f>
        <v>78025390.900000006</v>
      </c>
      <c r="C29" s="15">
        <v>62447886.739999995</v>
      </c>
      <c r="D29" s="15">
        <f t="shared" si="1"/>
        <v>-15577504.160000011</v>
      </c>
      <c r="E29" s="16">
        <f t="shared" si="0"/>
        <v>-19.964660196274657</v>
      </c>
    </row>
    <row r="30" spans="1:5" ht="15" customHeight="1" x14ac:dyDescent="0.3">
      <c r="A30" s="17" t="s">
        <v>30</v>
      </c>
      <c r="B30" s="18">
        <f>[31]SCF!C26</f>
        <v>14462272.66</v>
      </c>
      <c r="C30" s="18">
        <v>5852986.0600000005</v>
      </c>
      <c r="D30" s="18">
        <f t="shared" si="1"/>
        <v>-8609286.5999999996</v>
      </c>
      <c r="E30" s="19">
        <f t="shared" ref="E30:E32" si="4">IFERROR(+D30/B30*100,0)</f>
        <v>-59.529278712962665</v>
      </c>
    </row>
    <row r="31" spans="1:5" ht="15" customHeight="1" x14ac:dyDescent="0.3">
      <c r="A31" s="17" t="s">
        <v>31</v>
      </c>
      <c r="B31" s="18">
        <f>[31]SCF!C27</f>
        <v>41899787.039999999</v>
      </c>
      <c r="C31" s="18">
        <v>26794266.879999999</v>
      </c>
      <c r="D31" s="18">
        <f t="shared" si="1"/>
        <v>-15105520.16</v>
      </c>
      <c r="E31" s="19">
        <f t="shared" si="4"/>
        <v>-36.051543998491887</v>
      </c>
    </row>
    <row r="32" spans="1:5" x14ac:dyDescent="0.3">
      <c r="A32" s="17" t="s">
        <v>32</v>
      </c>
      <c r="B32" s="18">
        <f>[31]SCF!C28</f>
        <v>21663331.199999999</v>
      </c>
      <c r="C32" s="18">
        <v>29800633.800000001</v>
      </c>
      <c r="D32" s="18">
        <f t="shared" si="1"/>
        <v>8137302.6000000015</v>
      </c>
      <c r="E32" s="19">
        <f t="shared" si="4"/>
        <v>37.562563785204013</v>
      </c>
    </row>
    <row r="33" spans="1:5" x14ac:dyDescent="0.3">
      <c r="A33" s="14" t="s">
        <v>33</v>
      </c>
      <c r="B33" s="15">
        <f>[31]SCF!C29</f>
        <v>713131408.39999998</v>
      </c>
      <c r="C33" s="15">
        <v>0</v>
      </c>
      <c r="D33" s="15">
        <f t="shared" si="1"/>
        <v>-713131408.39999998</v>
      </c>
      <c r="E33" s="16">
        <f t="shared" si="0"/>
        <v>-100</v>
      </c>
    </row>
    <row r="34" spans="1:5" ht="15" customHeight="1" x14ac:dyDescent="0.3">
      <c r="A34" s="17" t="s">
        <v>34</v>
      </c>
      <c r="B34" s="18">
        <f>[31]SCF!C30</f>
        <v>548096586.63999999</v>
      </c>
      <c r="C34" s="18">
        <v>0</v>
      </c>
      <c r="D34" s="18">
        <f t="shared" si="1"/>
        <v>-548096586.63999999</v>
      </c>
      <c r="E34" s="19">
        <f t="shared" ref="E34:E41" si="5">IFERROR(+D34/B34*100,0)</f>
        <v>-100</v>
      </c>
    </row>
    <row r="35" spans="1:5" ht="15" customHeight="1" x14ac:dyDescent="0.3">
      <c r="A35" s="17" t="s">
        <v>35</v>
      </c>
      <c r="B35" s="18">
        <f>[31]SCF!C31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36</v>
      </c>
      <c r="B36" s="18">
        <f>[31]SCF!C32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37</v>
      </c>
      <c r="B37" s="18">
        <f>[31]SCF!C33</f>
        <v>165034821.75999999</v>
      </c>
      <c r="C37" s="18">
        <v>0</v>
      </c>
      <c r="D37" s="18">
        <f t="shared" si="1"/>
        <v>-165034821.75999999</v>
      </c>
      <c r="E37" s="19">
        <f t="shared" si="5"/>
        <v>-100</v>
      </c>
    </row>
    <row r="38" spans="1:5" x14ac:dyDescent="0.3">
      <c r="A38" s="24" t="s">
        <v>38</v>
      </c>
      <c r="B38" s="18">
        <f>[31]SCF!C34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39</v>
      </c>
      <c r="B39" s="18">
        <f>[31]SCF!C35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40</v>
      </c>
      <c r="B40" s="18">
        <f>[31]SCF!C36</f>
        <v>266370868.05000001</v>
      </c>
      <c r="C40" s="18">
        <v>40516241.509999998</v>
      </c>
      <c r="D40" s="18">
        <f t="shared" si="1"/>
        <v>-225854626.54000002</v>
      </c>
      <c r="E40" s="19">
        <f t="shared" si="5"/>
        <v>-84.789537306911967</v>
      </c>
    </row>
    <row r="41" spans="1:5" ht="15" customHeight="1" x14ac:dyDescent="0.3">
      <c r="A41" s="24" t="s">
        <v>41</v>
      </c>
      <c r="B41" s="18">
        <f>[31]SCF!C37</f>
        <v>349743299.5</v>
      </c>
      <c r="C41" s="18">
        <v>39026963.299999997</v>
      </c>
      <c r="D41" s="18">
        <f t="shared" si="1"/>
        <v>-310716336.19999999</v>
      </c>
      <c r="E41" s="19">
        <f t="shared" si="5"/>
        <v>-88.841254898723221</v>
      </c>
    </row>
    <row r="42" spans="1:5" ht="15" customHeight="1" x14ac:dyDescent="0.3">
      <c r="A42" s="25" t="s">
        <v>42</v>
      </c>
      <c r="B42" s="26">
        <f>[31]SCF!C38</f>
        <v>10887170844.360001</v>
      </c>
      <c r="C42" s="27">
        <v>4418705699.7900009</v>
      </c>
      <c r="D42" s="27">
        <f t="shared" si="1"/>
        <v>-6468465144.5699997</v>
      </c>
      <c r="E42" s="28">
        <f t="shared" si="0"/>
        <v>-59.413645997122657</v>
      </c>
    </row>
    <row r="43" spans="1:5" ht="18" customHeight="1" x14ac:dyDescent="0.3">
      <c r="A43" s="29" t="s">
        <v>15</v>
      </c>
      <c r="B43" s="3"/>
      <c r="C43" s="3"/>
      <c r="D43" s="3"/>
      <c r="E43" s="3"/>
    </row>
    <row r="44" spans="1:5" ht="15" customHeight="1" x14ac:dyDescent="0.3">
      <c r="A44" s="10" t="s">
        <v>43</v>
      </c>
      <c r="B44" s="11" t="s">
        <v>15</v>
      </c>
      <c r="C44" s="12" t="s">
        <v>15</v>
      </c>
      <c r="D44" s="11" t="s">
        <v>15</v>
      </c>
      <c r="E44" s="13" t="s">
        <v>15</v>
      </c>
    </row>
    <row r="45" spans="1:5" ht="15" customHeight="1" x14ac:dyDescent="0.3">
      <c r="A45" s="24" t="s">
        <v>44</v>
      </c>
      <c r="B45" s="18">
        <f>[31]SCF!C41</f>
        <v>7819237236.2299995</v>
      </c>
      <c r="C45" s="18">
        <v>3464835330.6600003</v>
      </c>
      <c r="D45" s="18">
        <f>C45-B45</f>
        <v>-4354401905.5699997</v>
      </c>
      <c r="E45" s="19">
        <f>IFERROR(+D45/B45*100,0)</f>
        <v>-55.688320663735858</v>
      </c>
    </row>
    <row r="46" spans="1:5" ht="15" customHeight="1" x14ac:dyDescent="0.3">
      <c r="A46" s="14" t="s">
        <v>45</v>
      </c>
      <c r="B46" s="15">
        <f>[31]SCF!C42</f>
        <v>633432160.00999999</v>
      </c>
      <c r="C46" s="15">
        <v>280175017.9000001</v>
      </c>
      <c r="D46" s="15">
        <f t="shared" ref="D46:D61" si="6">+B46-C46</f>
        <v>353257142.1099999</v>
      </c>
      <c r="E46" s="16">
        <f t="shared" ref="E46" si="7">+D46/B46*100</f>
        <v>55.768741218384463</v>
      </c>
    </row>
    <row r="47" spans="1:5" ht="15" customHeight="1" x14ac:dyDescent="0.3">
      <c r="A47" s="17" t="s">
        <v>46</v>
      </c>
      <c r="B47" s="18">
        <f>[31]SCF!C43</f>
        <v>147888474</v>
      </c>
      <c r="C47" s="18">
        <v>111070091.76000001</v>
      </c>
      <c r="D47" s="18">
        <f t="shared" si="6"/>
        <v>36818382.239999995</v>
      </c>
      <c r="E47" s="19">
        <f t="shared" ref="E47:E61" si="8">IFERROR(+D47/B47*100,0)</f>
        <v>24.89604581355001</v>
      </c>
    </row>
    <row r="48" spans="1:5" ht="15" customHeight="1" x14ac:dyDescent="0.3">
      <c r="A48" s="17" t="s">
        <v>47</v>
      </c>
      <c r="B48" s="18">
        <f>[31]SCF!C44</f>
        <v>22238966.370000001</v>
      </c>
      <c r="C48" s="18">
        <v>10288727.140000001</v>
      </c>
      <c r="D48" s="18">
        <f t="shared" si="6"/>
        <v>11950239.23</v>
      </c>
      <c r="E48" s="19">
        <f t="shared" si="8"/>
        <v>53.735587487198487</v>
      </c>
    </row>
    <row r="49" spans="1:5" ht="15" customHeight="1" x14ac:dyDescent="0.3">
      <c r="A49" s="17" t="s">
        <v>48</v>
      </c>
      <c r="B49" s="18">
        <f>[31]SCF!C45</f>
        <v>82691582</v>
      </c>
      <c r="C49" s="18">
        <v>64450777.640000001</v>
      </c>
      <c r="D49" s="18">
        <f t="shared" si="6"/>
        <v>18240804.359999999</v>
      </c>
      <c r="E49" s="19">
        <f t="shared" si="8"/>
        <v>22.058840717305419</v>
      </c>
    </row>
    <row r="50" spans="1:5" ht="15" customHeight="1" x14ac:dyDescent="0.3">
      <c r="A50" s="17" t="s">
        <v>49</v>
      </c>
      <c r="B50" s="18">
        <f>[31]SCF!C46</f>
        <v>17738263</v>
      </c>
      <c r="C50" s="18">
        <v>8100707.6799999997</v>
      </c>
      <c r="D50" s="18">
        <f t="shared" si="6"/>
        <v>9637555.3200000003</v>
      </c>
      <c r="E50" s="19">
        <f t="shared" si="8"/>
        <v>54.332012779379809</v>
      </c>
    </row>
    <row r="51" spans="1:5" ht="15" customHeight="1" x14ac:dyDescent="0.3">
      <c r="A51" s="17" t="s">
        <v>50</v>
      </c>
      <c r="B51" s="18">
        <f>[31]SCF!C47</f>
        <v>13766662</v>
      </c>
      <c r="C51" s="18">
        <v>3786947.6</v>
      </c>
      <c r="D51" s="18">
        <f t="shared" si="6"/>
        <v>9979714.4000000004</v>
      </c>
      <c r="E51" s="19">
        <f t="shared" si="8"/>
        <v>72.491896728488001</v>
      </c>
    </row>
    <row r="52" spans="1:5" x14ac:dyDescent="0.3">
      <c r="A52" s="17" t="s">
        <v>51</v>
      </c>
      <c r="B52" s="18">
        <f>[31]SCF!C48</f>
        <v>3819398</v>
      </c>
      <c r="C52" s="18">
        <v>404446.24</v>
      </c>
      <c r="D52" s="18">
        <f t="shared" si="6"/>
        <v>3414951.76</v>
      </c>
      <c r="E52" s="19">
        <f t="shared" si="8"/>
        <v>89.410733314517103</v>
      </c>
    </row>
    <row r="53" spans="1:5" ht="15" customHeight="1" x14ac:dyDescent="0.3">
      <c r="A53" s="17" t="s">
        <v>52</v>
      </c>
      <c r="B53" s="18">
        <f>[31]SCF!C49</f>
        <v>71769894.640000001</v>
      </c>
      <c r="C53" s="18">
        <v>10706942.83</v>
      </c>
      <c r="D53" s="18">
        <f t="shared" si="6"/>
        <v>61062951.810000002</v>
      </c>
      <c r="E53" s="19">
        <f t="shared" si="8"/>
        <v>85.081568137021307</v>
      </c>
    </row>
    <row r="54" spans="1:5" ht="15" customHeight="1" x14ac:dyDescent="0.3">
      <c r="A54" s="17" t="s">
        <v>53</v>
      </c>
      <c r="B54" s="18">
        <f>[31]SCF!C50</f>
        <v>17972169.170000002</v>
      </c>
      <c r="C54" s="18">
        <v>1972522.93</v>
      </c>
      <c r="D54" s="18">
        <f t="shared" si="6"/>
        <v>15999646.240000002</v>
      </c>
      <c r="E54" s="19">
        <f t="shared" si="8"/>
        <v>89.024569536699943</v>
      </c>
    </row>
    <row r="55" spans="1:5" ht="15" customHeight="1" x14ac:dyDescent="0.3">
      <c r="A55" s="17" t="s">
        <v>54</v>
      </c>
      <c r="B55" s="18">
        <f>[31]SCF!C51</f>
        <v>4026000</v>
      </c>
      <c r="C55" s="18">
        <v>2044614.4999999998</v>
      </c>
      <c r="D55" s="18">
        <f t="shared" si="6"/>
        <v>1981385.5000000002</v>
      </c>
      <c r="E55" s="19">
        <f t="shared" si="8"/>
        <v>49.214741679085947</v>
      </c>
    </row>
    <row r="56" spans="1:5" ht="15" customHeight="1" x14ac:dyDescent="0.3">
      <c r="A56" s="17" t="s">
        <v>55</v>
      </c>
      <c r="B56" s="18">
        <f>[31]SCF!C52</f>
        <v>3896400</v>
      </c>
      <c r="C56" s="18">
        <v>1872955.3599999999</v>
      </c>
      <c r="D56" s="18">
        <f t="shared" si="6"/>
        <v>2023444.6400000001</v>
      </c>
      <c r="E56" s="19">
        <f t="shared" si="8"/>
        <v>51.931132327276465</v>
      </c>
    </row>
    <row r="57" spans="1:5" ht="15" customHeight="1" x14ac:dyDescent="0.3">
      <c r="A57" s="17" t="s">
        <v>56</v>
      </c>
      <c r="B57" s="18">
        <f>[31]SCF!C53</f>
        <v>158453235</v>
      </c>
      <c r="C57" s="18">
        <v>58356764.340000004</v>
      </c>
      <c r="D57" s="18">
        <f t="shared" si="6"/>
        <v>100096470.66</v>
      </c>
      <c r="E57" s="19">
        <f t="shared" si="8"/>
        <v>63.170985849547343</v>
      </c>
    </row>
    <row r="58" spans="1:5" ht="15" customHeight="1" x14ac:dyDescent="0.3">
      <c r="A58" s="17" t="s">
        <v>57</v>
      </c>
      <c r="B58" s="18">
        <f>[31]SCF!C54</f>
        <v>2875492</v>
      </c>
      <c r="C58" s="18">
        <v>1256763.42</v>
      </c>
      <c r="D58" s="18">
        <f t="shared" si="6"/>
        <v>1618728.58</v>
      </c>
      <c r="E58" s="19">
        <f t="shared" si="8"/>
        <v>56.293969171188799</v>
      </c>
    </row>
    <row r="59" spans="1:5" ht="15" customHeight="1" x14ac:dyDescent="0.3">
      <c r="A59" s="17" t="s">
        <v>58</v>
      </c>
      <c r="B59" s="18">
        <f>[31]SCF!C55</f>
        <v>24398390</v>
      </c>
      <c r="C59" s="18">
        <v>2984701.83</v>
      </c>
      <c r="D59" s="18">
        <f t="shared" si="6"/>
        <v>21413688.170000002</v>
      </c>
      <c r="E59" s="19">
        <f t="shared" si="8"/>
        <v>87.766808260709013</v>
      </c>
    </row>
    <row r="60" spans="1:5" ht="15" customHeight="1" x14ac:dyDescent="0.3">
      <c r="A60" s="17" t="s">
        <v>59</v>
      </c>
      <c r="B60" s="18">
        <f>[31]SCF!C56</f>
        <v>1627630.83</v>
      </c>
      <c r="C60" s="18">
        <v>162175.85</v>
      </c>
      <c r="D60" s="18">
        <f t="shared" si="6"/>
        <v>1465454.98</v>
      </c>
      <c r="E60" s="19">
        <f t="shared" si="8"/>
        <v>90.036079004475482</v>
      </c>
    </row>
    <row r="61" spans="1:5" ht="15" customHeight="1" x14ac:dyDescent="0.3">
      <c r="A61" s="17" t="s">
        <v>60</v>
      </c>
      <c r="B61" s="18">
        <f>[31]SCF!C57</f>
        <v>60269603</v>
      </c>
      <c r="C61" s="18">
        <v>2715878.7799999993</v>
      </c>
      <c r="D61" s="18">
        <f t="shared" si="6"/>
        <v>57553724.219999999</v>
      </c>
      <c r="E61" s="19">
        <f t="shared" si="8"/>
        <v>95.49378352467329</v>
      </c>
    </row>
    <row r="62" spans="1:5" ht="15" customHeight="1" x14ac:dyDescent="0.3">
      <c r="A62" s="10" t="s">
        <v>61</v>
      </c>
      <c r="B62" s="11" t="s">
        <v>15</v>
      </c>
      <c r="C62" s="18"/>
      <c r="D62" s="11" t="s">
        <v>15</v>
      </c>
      <c r="E62" s="13" t="s">
        <v>15</v>
      </c>
    </row>
    <row r="63" spans="1:5" x14ac:dyDescent="0.3">
      <c r="A63" s="24" t="s">
        <v>62</v>
      </c>
      <c r="B63" s="18">
        <f>[31]SCF!C60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63</v>
      </c>
      <c r="B64" s="18">
        <f>[31]SCF!C61</f>
        <v>224551089.87</v>
      </c>
      <c r="C64" s="18">
        <v>62968083.339999996</v>
      </c>
      <c r="D64" s="18">
        <f t="shared" si="9"/>
        <v>-161583006.53</v>
      </c>
      <c r="E64" s="19">
        <f t="shared" si="10"/>
        <v>-71.958237487756435</v>
      </c>
    </row>
    <row r="65" spans="1:5" ht="15" customHeight="1" x14ac:dyDescent="0.3">
      <c r="A65" s="24" t="s">
        <v>64</v>
      </c>
      <c r="B65" s="18">
        <f>[31]SCF!C62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65</v>
      </c>
      <c r="B66" s="18">
        <f>[31]SCF!C63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66</v>
      </c>
      <c r="B67" s="18">
        <f>[31]SCF!C64</f>
        <v>0</v>
      </c>
      <c r="C67" s="18">
        <v>22610531.059999999</v>
      </c>
      <c r="D67" s="18">
        <f t="shared" si="9"/>
        <v>22610531.059999999</v>
      </c>
      <c r="E67" s="19">
        <f t="shared" si="10"/>
        <v>0</v>
      </c>
    </row>
    <row r="68" spans="1:5" ht="15" customHeight="1" x14ac:dyDescent="0.3">
      <c r="A68" s="30" t="s">
        <v>67</v>
      </c>
      <c r="B68" s="15">
        <f>+B63+B64+B65+B66+B67</f>
        <v>224551089.87</v>
      </c>
      <c r="C68" s="31">
        <v>85578614.399999991</v>
      </c>
      <c r="D68" s="31">
        <f t="shared" ref="D68" si="11">+C68-B68</f>
        <v>-138972475.47000003</v>
      </c>
      <c r="E68" s="32">
        <f t="shared" ref="E68" si="12">+D68/B68*100</f>
        <v>-61.889022916992189</v>
      </c>
    </row>
    <row r="69" spans="1:5" ht="15" customHeight="1" x14ac:dyDescent="0.3">
      <c r="A69" s="10" t="s">
        <v>68</v>
      </c>
      <c r="B69" s="11" t="s">
        <v>15</v>
      </c>
      <c r="C69" s="12" t="s">
        <v>15</v>
      </c>
      <c r="D69" s="11" t="s">
        <v>15</v>
      </c>
      <c r="E69" s="13" t="s">
        <v>15</v>
      </c>
    </row>
    <row r="70" spans="1:5" ht="15" customHeight="1" x14ac:dyDescent="0.3">
      <c r="A70" s="14" t="s">
        <v>69</v>
      </c>
      <c r="B70" s="15">
        <f>[31]SCF!C67</f>
        <v>146192892.08000001</v>
      </c>
      <c r="C70" s="15">
        <v>73302093.74000001</v>
      </c>
      <c r="D70" s="15">
        <f t="shared" ref="D70:D82" si="13">+C70-B70</f>
        <v>-72890798.340000004</v>
      </c>
      <c r="E70" s="16">
        <f t="shared" ref="E70:E82" si="14">+D70/B70*100</f>
        <v>-49.859331259492791</v>
      </c>
    </row>
    <row r="71" spans="1:5" ht="15" customHeight="1" x14ac:dyDescent="0.3">
      <c r="A71" s="17" t="s">
        <v>20</v>
      </c>
      <c r="B71" s="18">
        <f>[31]SCF!C68</f>
        <v>113138387.64</v>
      </c>
      <c r="C71" s="18">
        <v>58893402.49000001</v>
      </c>
      <c r="D71" s="18">
        <f t="shared" si="13"/>
        <v>-54244985.149999991</v>
      </c>
      <c r="E71" s="19">
        <f t="shared" ref="E71:E81" si="15">IFERROR(+D71/B71*100,0)</f>
        <v>-47.94569401378115</v>
      </c>
    </row>
    <row r="72" spans="1:5" ht="15" customHeight="1" x14ac:dyDescent="0.3">
      <c r="A72" s="17" t="s">
        <v>21</v>
      </c>
      <c r="B72" s="18">
        <f>[31]SCF!C69</f>
        <v>1304137.43</v>
      </c>
      <c r="C72" s="18">
        <v>550475.1</v>
      </c>
      <c r="D72" s="18">
        <f t="shared" si="13"/>
        <v>-753662.33</v>
      </c>
      <c r="E72" s="19">
        <f t="shared" si="15"/>
        <v>-57.790100388423014</v>
      </c>
    </row>
    <row r="73" spans="1:5" ht="15" customHeight="1" x14ac:dyDescent="0.3">
      <c r="A73" s="17" t="s">
        <v>22</v>
      </c>
      <c r="B73" s="18">
        <f>[31]SCF!C70</f>
        <v>17483.8</v>
      </c>
      <c r="C73" s="18">
        <v>1065.81</v>
      </c>
      <c r="D73" s="18">
        <f t="shared" si="13"/>
        <v>-16417.989999999998</v>
      </c>
      <c r="E73" s="19">
        <f t="shared" si="15"/>
        <v>-93.904014001532843</v>
      </c>
    </row>
    <row r="74" spans="1:5" ht="15" customHeight="1" x14ac:dyDescent="0.3">
      <c r="A74" s="17" t="s">
        <v>70</v>
      </c>
      <c r="B74" s="18">
        <f>[31]SCF!C71</f>
        <v>431701.74</v>
      </c>
      <c r="C74" s="18">
        <v>14839.69</v>
      </c>
      <c r="D74" s="18">
        <f t="shared" si="13"/>
        <v>-416862.05</v>
      </c>
      <c r="E74" s="19">
        <f t="shared" si="15"/>
        <v>-96.562513275948348</v>
      </c>
    </row>
    <row r="75" spans="1:5" ht="15" customHeight="1" x14ac:dyDescent="0.3">
      <c r="A75" s="17" t="s">
        <v>24</v>
      </c>
      <c r="B75" s="18">
        <f>[31]SCF!C72</f>
        <v>31301181.469999999</v>
      </c>
      <c r="C75" s="18">
        <v>13842310.65</v>
      </c>
      <c r="D75" s="18">
        <f t="shared" si="13"/>
        <v>-17458870.82</v>
      </c>
      <c r="E75" s="19">
        <f t="shared" si="15"/>
        <v>-55.777034604055153</v>
      </c>
    </row>
    <row r="76" spans="1:5" ht="15" customHeight="1" x14ac:dyDescent="0.3">
      <c r="A76" s="17" t="s">
        <v>25</v>
      </c>
      <c r="B76" s="18">
        <f>[31]SCF!C73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71</v>
      </c>
      <c r="B77" s="18">
        <f>[31]SCF!C74</f>
        <v>72044899.510000005</v>
      </c>
      <c r="C77" s="18">
        <v>1494686.2800000003</v>
      </c>
      <c r="D77" s="18">
        <f t="shared" ref="D77:D81" si="16">C77-B77</f>
        <v>-70550213.230000004</v>
      </c>
      <c r="E77" s="19">
        <f t="shared" si="15"/>
        <v>-97.925340599867809</v>
      </c>
    </row>
    <row r="78" spans="1:5" x14ac:dyDescent="0.3">
      <c r="A78" s="24" t="s">
        <v>72</v>
      </c>
      <c r="B78" s="18">
        <f>[31]SCF!C75</f>
        <v>338141072.38999999</v>
      </c>
      <c r="C78" s="18">
        <v>16292580.6</v>
      </c>
      <c r="D78" s="18">
        <f t="shared" si="16"/>
        <v>-321848491.78999996</v>
      </c>
      <c r="E78" s="19">
        <f t="shared" si="15"/>
        <v>-95.181720905761864</v>
      </c>
    </row>
    <row r="79" spans="1:5" ht="15" customHeight="1" x14ac:dyDescent="0.3">
      <c r="A79" s="24" t="s">
        <v>73</v>
      </c>
      <c r="B79" s="18">
        <f>[31]SCF!C76</f>
        <v>0</v>
      </c>
      <c r="C79" s="18">
        <v>61093195.219999991</v>
      </c>
      <c r="D79" s="18">
        <f t="shared" si="16"/>
        <v>61093195.219999991</v>
      </c>
      <c r="E79" s="19">
        <f t="shared" si="15"/>
        <v>0</v>
      </c>
    </row>
    <row r="80" spans="1:5" x14ac:dyDescent="0.3">
      <c r="A80" s="24" t="s">
        <v>74</v>
      </c>
      <c r="B80" s="18">
        <f>[31]SCF!C77</f>
        <v>100928932.26000001</v>
      </c>
      <c r="C80" s="18">
        <v>9825405.1699999999</v>
      </c>
      <c r="D80" s="18">
        <f t="shared" si="16"/>
        <v>-91103527.090000004</v>
      </c>
      <c r="E80" s="19">
        <f t="shared" si="15"/>
        <v>-90.265026142663359</v>
      </c>
    </row>
    <row r="81" spans="1:5" x14ac:dyDescent="0.3">
      <c r="A81" s="24" t="s">
        <v>75</v>
      </c>
      <c r="B81" s="18">
        <f>[31]SCF!C78</f>
        <v>133001413.02</v>
      </c>
      <c r="C81" s="18">
        <v>-225444.44</v>
      </c>
      <c r="D81" s="18">
        <f t="shared" si="16"/>
        <v>-133226857.45999999</v>
      </c>
      <c r="E81" s="19">
        <f t="shared" si="15"/>
        <v>-100.1695052968844</v>
      </c>
    </row>
    <row r="82" spans="1:5" ht="15" customHeight="1" x14ac:dyDescent="0.3">
      <c r="A82" s="30" t="s">
        <v>76</v>
      </c>
      <c r="B82" s="15">
        <f>+B70+B77+B78+B79+B80+B81</f>
        <v>790309209.25999999</v>
      </c>
      <c r="C82" s="31">
        <v>161782516.56999999</v>
      </c>
      <c r="D82" s="31">
        <f t="shared" si="13"/>
        <v>-628526692.69000006</v>
      </c>
      <c r="E82" s="32">
        <f t="shared" si="14"/>
        <v>-79.529212784767651</v>
      </c>
    </row>
    <row r="83" spans="1:5" ht="15" customHeight="1" x14ac:dyDescent="0.3">
      <c r="A83" s="10" t="s">
        <v>77</v>
      </c>
      <c r="B83" s="11" t="s">
        <v>15</v>
      </c>
      <c r="C83" s="12" t="s">
        <v>15</v>
      </c>
      <c r="D83" s="11" t="s">
        <v>15</v>
      </c>
      <c r="E83" s="13" t="s">
        <v>15</v>
      </c>
    </row>
    <row r="84" spans="1:5" ht="15" customHeight="1" x14ac:dyDescent="0.3">
      <c r="A84" s="24" t="s">
        <v>78</v>
      </c>
      <c r="B84" s="18">
        <f>[31]SCF!C81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79</v>
      </c>
      <c r="B85" s="18">
        <f>[31]SCF!C82</f>
        <v>764838473.12</v>
      </c>
      <c r="C85" s="18">
        <v>177331002.69</v>
      </c>
      <c r="D85" s="18">
        <f t="shared" si="17"/>
        <v>-587507470.43000007</v>
      </c>
      <c r="E85" s="19">
        <f t="shared" si="18"/>
        <v>-76.814581258364939</v>
      </c>
    </row>
    <row r="86" spans="1:5" ht="15" customHeight="1" x14ac:dyDescent="0.3">
      <c r="A86" s="24" t="s">
        <v>80</v>
      </c>
      <c r="B86" s="18">
        <f>[31]SCF!C83</f>
        <v>165034821.75999999</v>
      </c>
      <c r="C86" s="18">
        <v>12491948.24</v>
      </c>
      <c r="D86" s="18">
        <f t="shared" si="17"/>
        <v>-152542873.51999998</v>
      </c>
      <c r="E86" s="19">
        <f t="shared" si="18"/>
        <v>-92.430719707040808</v>
      </c>
    </row>
    <row r="87" spans="1:5" ht="15" customHeight="1" x14ac:dyDescent="0.3">
      <c r="A87" s="30" t="s">
        <v>81</v>
      </c>
      <c r="B87" s="33">
        <f>+B84+B85+B86</f>
        <v>929873294.88</v>
      </c>
      <c r="C87" s="31">
        <v>189822950.93000001</v>
      </c>
      <c r="D87" s="31">
        <f t="shared" si="17"/>
        <v>-740050343.95000005</v>
      </c>
      <c r="E87" s="32">
        <f>+D87/B87*100</f>
        <v>-79.58614878229227</v>
      </c>
    </row>
    <row r="88" spans="1:5" ht="18" customHeight="1" x14ac:dyDescent="0.3">
      <c r="A88" s="25" t="s">
        <v>82</v>
      </c>
      <c r="B88" s="27">
        <f>+B45+B46+B68+B82+B87</f>
        <v>10397402990.25</v>
      </c>
      <c r="C88" s="27">
        <v>4182194430.4600005</v>
      </c>
      <c r="D88" s="27">
        <f t="shared" si="17"/>
        <v>-6215208559.789999</v>
      </c>
      <c r="E88" s="28">
        <f>+D88/B88*100</f>
        <v>-59.776547716946361</v>
      </c>
    </row>
    <row r="89" spans="1:5" x14ac:dyDescent="0.3">
      <c r="A89" s="29" t="s">
        <v>15</v>
      </c>
      <c r="B89" s="3"/>
      <c r="C89" s="3"/>
      <c r="D89" s="3"/>
      <c r="E89" s="3"/>
    </row>
    <row r="90" spans="1:5" ht="15" customHeight="1" x14ac:dyDescent="0.3">
      <c r="A90" s="10" t="s">
        <v>83</v>
      </c>
      <c r="B90" s="11" t="s">
        <v>15</v>
      </c>
      <c r="C90" s="12" t="s">
        <v>15</v>
      </c>
      <c r="D90" s="11" t="s">
        <v>15</v>
      </c>
      <c r="E90" s="13" t="s">
        <v>15</v>
      </c>
    </row>
    <row r="91" spans="1:5" x14ac:dyDescent="0.3">
      <c r="A91" s="24" t="s">
        <v>84</v>
      </c>
      <c r="B91" s="18">
        <f>[31]SCF!C88</f>
        <v>0</v>
      </c>
      <c r="C91" s="18">
        <v>51562608.75</v>
      </c>
      <c r="D91" s="18">
        <f t="shared" ref="D91:D98" si="19">+C91-B91</f>
        <v>51562608.75</v>
      </c>
      <c r="E91" s="19">
        <f>IFERROR(+D91/B91*100,0)</f>
        <v>0</v>
      </c>
    </row>
    <row r="92" spans="1:5" ht="15" customHeight="1" x14ac:dyDescent="0.3">
      <c r="A92" s="24" t="s">
        <v>85</v>
      </c>
      <c r="B92" s="18">
        <f>[31]SCF!C89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86</v>
      </c>
      <c r="B93" s="18">
        <f>[31]SCF!C90</f>
        <v>80713119.75</v>
      </c>
      <c r="C93" s="18">
        <v>0</v>
      </c>
      <c r="D93" s="18">
        <f t="shared" si="19"/>
        <v>-80713119.75</v>
      </c>
      <c r="E93" s="19">
        <f t="shared" si="20"/>
        <v>-100</v>
      </c>
    </row>
    <row r="94" spans="1:5" ht="15" customHeight="1" x14ac:dyDescent="0.3">
      <c r="A94" s="24" t="s">
        <v>87</v>
      </c>
      <c r="B94" s="18">
        <f>[31]SCF!C91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88</v>
      </c>
      <c r="B95" s="18">
        <f>[31]SCF!C92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89</v>
      </c>
      <c r="B96" s="18">
        <f>[31]SCF!C93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90</v>
      </c>
      <c r="B97" s="18">
        <f>[31]SCF!C94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91</v>
      </c>
      <c r="B98" s="33">
        <f>SUM(B91:B97)</f>
        <v>80713119.75</v>
      </c>
      <c r="C98" s="31">
        <v>51562608.75</v>
      </c>
      <c r="D98" s="31">
        <f t="shared" si="19"/>
        <v>-29150511</v>
      </c>
      <c r="E98" s="32">
        <f t="shared" ref="E98" si="21">+D98/B98*100</f>
        <v>-36.116199064403034</v>
      </c>
    </row>
    <row r="99" spans="1:5" ht="15" customHeight="1" x14ac:dyDescent="0.3">
      <c r="A99" s="34" t="s">
        <v>92</v>
      </c>
      <c r="B99" s="35">
        <f>+B42-B88-B98</f>
        <v>409054734.36000061</v>
      </c>
      <c r="C99" s="36">
        <v>184948660.5800004</v>
      </c>
      <c r="D99" s="37" t="s">
        <v>15</v>
      </c>
      <c r="E99" s="38" t="s">
        <v>15</v>
      </c>
    </row>
    <row r="100" spans="1:5" ht="15" customHeight="1" x14ac:dyDescent="0.3">
      <c r="A100" s="39" t="s">
        <v>93</v>
      </c>
      <c r="B100" s="18">
        <f>[31]SCF!$C$97</f>
        <v>283311506</v>
      </c>
      <c r="C100" s="18">
        <v>175250008.69</v>
      </c>
      <c r="D100" s="40" t="s">
        <v>15</v>
      </c>
      <c r="E100" s="41" t="s">
        <v>15</v>
      </c>
    </row>
    <row r="101" spans="1:5" ht="15" customHeight="1" x14ac:dyDescent="0.3">
      <c r="A101" s="34" t="s">
        <v>94</v>
      </c>
      <c r="B101" s="35">
        <f>B99+B100</f>
        <v>692366240.36000061</v>
      </c>
      <c r="C101" s="36">
        <v>360198669.2700004</v>
      </c>
      <c r="D101" s="42" t="s">
        <v>15</v>
      </c>
      <c r="E101" s="43" t="s">
        <v>15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PELCO III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+[32]SCF!$C$2</f>
        <v>PELCO III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14</v>
      </c>
      <c r="B15" s="11" t="s">
        <v>15</v>
      </c>
      <c r="C15" s="12" t="s">
        <v>15</v>
      </c>
      <c r="D15" s="11" t="s">
        <v>15</v>
      </c>
      <c r="E15" s="13" t="s">
        <v>15</v>
      </c>
    </row>
    <row r="16" spans="1:5" ht="15" customHeight="1" x14ac:dyDescent="0.3">
      <c r="A16" s="14" t="s">
        <v>16</v>
      </c>
      <c r="B16" s="15">
        <f>[32]SCF!C12</f>
        <v>4362799085</v>
      </c>
      <c r="C16" s="15">
        <v>1575581761.8500001</v>
      </c>
      <c r="D16" s="15">
        <f>+C16-B16</f>
        <v>-2787217323.1499996</v>
      </c>
      <c r="E16" s="16">
        <f t="shared" ref="E16:E42" si="0">+D16/B16*100</f>
        <v>-63.885988532749494</v>
      </c>
    </row>
    <row r="17" spans="1:5" ht="15" customHeight="1" x14ac:dyDescent="0.3">
      <c r="A17" s="17" t="s">
        <v>17</v>
      </c>
      <c r="B17" s="18">
        <f>[32]SCF!C13</f>
        <v>4165358036</v>
      </c>
      <c r="C17" s="18">
        <v>1505690240.5100002</v>
      </c>
      <c r="D17" s="18">
        <f t="shared" ref="D17:D42" si="1">+C17-B17</f>
        <v>-2659667795.4899998</v>
      </c>
      <c r="E17" s="19">
        <f t="shared" ref="E17:E18" si="2">IFERROR(+D17/B17*100,0)</f>
        <v>-63.852081201741861</v>
      </c>
    </row>
    <row r="18" spans="1:5" ht="15" customHeight="1" x14ac:dyDescent="0.3">
      <c r="A18" s="17" t="s">
        <v>18</v>
      </c>
      <c r="B18" s="18">
        <f>[32]SCF!C14</f>
        <v>50580084</v>
      </c>
      <c r="C18" s="18">
        <v>22430533.259999998</v>
      </c>
      <c r="D18" s="18">
        <f t="shared" si="1"/>
        <v>-28149550.740000002</v>
      </c>
      <c r="E18" s="19">
        <f t="shared" si="2"/>
        <v>-55.653428214947219</v>
      </c>
    </row>
    <row r="19" spans="1:5" ht="15" customHeight="1" x14ac:dyDescent="0.3">
      <c r="A19" s="20" t="s">
        <v>19</v>
      </c>
      <c r="B19" s="15">
        <f>[32]SCF!C15</f>
        <v>74237079</v>
      </c>
      <c r="C19" s="21">
        <v>33043108.810000002</v>
      </c>
      <c r="D19" s="21">
        <f t="shared" si="1"/>
        <v>-41193970.189999998</v>
      </c>
      <c r="E19" s="22">
        <f t="shared" si="0"/>
        <v>-55.489750869642918</v>
      </c>
    </row>
    <row r="20" spans="1:5" ht="15" customHeight="1" x14ac:dyDescent="0.3">
      <c r="A20" s="23" t="s">
        <v>20</v>
      </c>
      <c r="B20" s="18">
        <f>[32]SCF!C16</f>
        <v>59409655.229999997</v>
      </c>
      <c r="C20" s="18">
        <v>26221820.07</v>
      </c>
      <c r="D20" s="18">
        <f t="shared" si="1"/>
        <v>-33187835.159999996</v>
      </c>
      <c r="E20" s="19">
        <f t="shared" ref="E20:E28" si="3">IFERROR(+D20/B20*100,0)</f>
        <v>-55.86269610809186</v>
      </c>
    </row>
    <row r="21" spans="1:5" ht="15" customHeight="1" x14ac:dyDescent="0.3">
      <c r="A21" s="23" t="s">
        <v>21</v>
      </c>
      <c r="B21" s="18">
        <f>[32]SCF!C17</f>
        <v>566440.91</v>
      </c>
      <c r="C21" s="18">
        <v>252890.03000000003</v>
      </c>
      <c r="D21" s="18">
        <f t="shared" si="1"/>
        <v>-313550.88</v>
      </c>
      <c r="E21" s="19">
        <f t="shared" si="3"/>
        <v>-55.35456116684793</v>
      </c>
    </row>
    <row r="22" spans="1:5" ht="15" customHeight="1" x14ac:dyDescent="0.3">
      <c r="A22" s="23" t="s">
        <v>22</v>
      </c>
      <c r="B22" s="18">
        <f>[32]SCF!C18</f>
        <v>0</v>
      </c>
      <c r="C22" s="18">
        <v>4359.3700000000008</v>
      </c>
      <c r="D22" s="18">
        <f t="shared" si="1"/>
        <v>4359.3700000000008</v>
      </c>
      <c r="E22" s="19">
        <f t="shared" si="3"/>
        <v>0</v>
      </c>
    </row>
    <row r="23" spans="1:5" ht="15" customHeight="1" x14ac:dyDescent="0.3">
      <c r="A23" s="23" t="s">
        <v>23</v>
      </c>
      <c r="B23" s="18">
        <f>[32]SCF!C19</f>
        <v>0</v>
      </c>
      <c r="C23" s="18">
        <v>280437.02</v>
      </c>
      <c r="D23" s="18">
        <f t="shared" si="1"/>
        <v>280437.02</v>
      </c>
      <c r="E23" s="19">
        <f t="shared" si="3"/>
        <v>0</v>
      </c>
    </row>
    <row r="24" spans="1:5" ht="15" customHeight="1" x14ac:dyDescent="0.3">
      <c r="A24" s="23" t="s">
        <v>24</v>
      </c>
      <c r="B24" s="18">
        <f>[32]SCF!C20</f>
        <v>14260982.859999999</v>
      </c>
      <c r="C24" s="18">
        <v>6283602.3200000003</v>
      </c>
      <c r="D24" s="18">
        <f t="shared" si="1"/>
        <v>-7977380.5399999991</v>
      </c>
      <c r="E24" s="19">
        <f t="shared" si="3"/>
        <v>-55.938504507816219</v>
      </c>
    </row>
    <row r="25" spans="1:5" ht="15" customHeight="1" x14ac:dyDescent="0.3">
      <c r="A25" s="23" t="s">
        <v>25</v>
      </c>
      <c r="B25" s="18">
        <f>[32]SCF!C21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26</v>
      </c>
      <c r="B26" s="18">
        <f>[32]SCF!C22</f>
        <v>31329256</v>
      </c>
      <c r="C26" s="18">
        <v>323093.75</v>
      </c>
      <c r="D26" s="18">
        <f t="shared" si="1"/>
        <v>-31006162.25</v>
      </c>
      <c r="E26" s="19">
        <f t="shared" si="3"/>
        <v>-98.968715535408819</v>
      </c>
    </row>
    <row r="27" spans="1:5" ht="15" customHeight="1" x14ac:dyDescent="0.3">
      <c r="A27" s="17" t="s">
        <v>27</v>
      </c>
      <c r="B27" s="18">
        <f>[32]SCF!C23</f>
        <v>41294630</v>
      </c>
      <c r="C27" s="18">
        <v>14094785.52</v>
      </c>
      <c r="D27" s="18">
        <f t="shared" si="1"/>
        <v>-27199844.48</v>
      </c>
      <c r="E27" s="19">
        <f t="shared" si="3"/>
        <v>-65.867752005527109</v>
      </c>
    </row>
    <row r="28" spans="1:5" ht="15" customHeight="1" x14ac:dyDescent="0.3">
      <c r="A28" s="17" t="s">
        <v>28</v>
      </c>
      <c r="B28" s="18">
        <f>[32]SCF!C24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29</v>
      </c>
      <c r="B29" s="15">
        <f>[32]SCF!C25</f>
        <v>70000000</v>
      </c>
      <c r="C29" s="15">
        <v>52577804.960000001</v>
      </c>
      <c r="D29" s="15">
        <f t="shared" si="1"/>
        <v>-17422195.039999999</v>
      </c>
      <c r="E29" s="16">
        <f t="shared" si="0"/>
        <v>-24.888850057142857</v>
      </c>
    </row>
    <row r="30" spans="1:5" ht="15" customHeight="1" x14ac:dyDescent="0.3">
      <c r="A30" s="17" t="s">
        <v>30</v>
      </c>
      <c r="B30" s="18">
        <f>[32]SCF!C26</f>
        <v>20000000</v>
      </c>
      <c r="C30" s="18">
        <v>9662159.5099999998</v>
      </c>
      <c r="D30" s="18">
        <f t="shared" si="1"/>
        <v>-10337840.49</v>
      </c>
      <c r="E30" s="19">
        <f t="shared" ref="E30:E32" si="4">IFERROR(+D30/B30*100,0)</f>
        <v>-51.689202450000003</v>
      </c>
    </row>
    <row r="31" spans="1:5" ht="15" customHeight="1" x14ac:dyDescent="0.3">
      <c r="A31" s="17" t="s">
        <v>31</v>
      </c>
      <c r="B31" s="18">
        <f>[32]SCF!C27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32</v>
      </c>
      <c r="B32" s="18">
        <f>[32]SCF!C28</f>
        <v>50000000</v>
      </c>
      <c r="C32" s="18">
        <v>42915645.450000003</v>
      </c>
      <c r="D32" s="18">
        <f t="shared" si="1"/>
        <v>-7084354.549999997</v>
      </c>
      <c r="E32" s="19">
        <f t="shared" si="4"/>
        <v>-14.168709099999994</v>
      </c>
    </row>
    <row r="33" spans="1:5" x14ac:dyDescent="0.3">
      <c r="A33" s="14" t="s">
        <v>33</v>
      </c>
      <c r="B33" s="15">
        <f>[32]SCF!C29</f>
        <v>214962842</v>
      </c>
      <c r="C33" s="15">
        <v>0</v>
      </c>
      <c r="D33" s="15">
        <f t="shared" si="1"/>
        <v>-214962842</v>
      </c>
      <c r="E33" s="16">
        <f t="shared" si="0"/>
        <v>-100</v>
      </c>
    </row>
    <row r="34" spans="1:5" ht="15" customHeight="1" x14ac:dyDescent="0.3">
      <c r="A34" s="17" t="s">
        <v>34</v>
      </c>
      <c r="B34" s="18">
        <f>[32]SCF!C30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35</v>
      </c>
      <c r="B35" s="18">
        <f>[32]SCF!C31</f>
        <v>13000000</v>
      </c>
      <c r="C35" s="18">
        <v>0</v>
      </c>
      <c r="D35" s="18">
        <f t="shared" si="1"/>
        <v>-13000000</v>
      </c>
      <c r="E35" s="19">
        <f t="shared" si="5"/>
        <v>-100</v>
      </c>
    </row>
    <row r="36" spans="1:5" ht="20.399999999999999" customHeight="1" x14ac:dyDescent="0.3">
      <c r="A36" s="17" t="s">
        <v>36</v>
      </c>
      <c r="B36" s="18">
        <f>[32]SCF!C32</f>
        <v>201962842</v>
      </c>
      <c r="C36" s="18">
        <v>0</v>
      </c>
      <c r="D36" s="18">
        <f t="shared" si="1"/>
        <v>-201962842</v>
      </c>
      <c r="E36" s="19">
        <f t="shared" si="5"/>
        <v>-100</v>
      </c>
    </row>
    <row r="37" spans="1:5" ht="15" customHeight="1" x14ac:dyDescent="0.3">
      <c r="A37" s="17" t="s">
        <v>37</v>
      </c>
      <c r="B37" s="18">
        <f>[32]SCF!C33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38</v>
      </c>
      <c r="B38" s="18">
        <f>[32]SCF!C34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39</v>
      </c>
      <c r="B39" s="18">
        <f>[32]SCF!C35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40</v>
      </c>
      <c r="B40" s="18">
        <f>[32]SCF!C36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41</v>
      </c>
      <c r="B41" s="18">
        <f>[32]SCF!C37</f>
        <v>30000000</v>
      </c>
      <c r="C41" s="18">
        <v>-2382859.61</v>
      </c>
      <c r="D41" s="18">
        <f t="shared" si="1"/>
        <v>-32382859.609999999</v>
      </c>
      <c r="E41" s="19">
        <f t="shared" si="5"/>
        <v>-107.94286536666667</v>
      </c>
    </row>
    <row r="42" spans="1:5" ht="15" customHeight="1" x14ac:dyDescent="0.3">
      <c r="A42" s="25" t="s">
        <v>42</v>
      </c>
      <c r="B42" s="26">
        <f>[32]SCF!C38</f>
        <v>4677761927</v>
      </c>
      <c r="C42" s="27">
        <v>1625776707.2000003</v>
      </c>
      <c r="D42" s="27">
        <f t="shared" si="1"/>
        <v>-3051985219.7999997</v>
      </c>
      <c r="E42" s="28">
        <f t="shared" si="0"/>
        <v>-65.244560698653103</v>
      </c>
    </row>
    <row r="43" spans="1:5" ht="18" customHeight="1" x14ac:dyDescent="0.3">
      <c r="A43" s="29" t="s">
        <v>15</v>
      </c>
      <c r="B43" s="3"/>
      <c r="C43" s="3"/>
      <c r="D43" s="3"/>
      <c r="E43" s="3"/>
    </row>
    <row r="44" spans="1:5" ht="15" customHeight="1" x14ac:dyDescent="0.3">
      <c r="A44" s="10" t="s">
        <v>43</v>
      </c>
      <c r="B44" s="11" t="s">
        <v>15</v>
      </c>
      <c r="C44" s="12" t="s">
        <v>15</v>
      </c>
      <c r="D44" s="11" t="s">
        <v>15</v>
      </c>
      <c r="E44" s="13" t="s">
        <v>15</v>
      </c>
    </row>
    <row r="45" spans="1:5" ht="15" customHeight="1" x14ac:dyDescent="0.3">
      <c r="A45" s="24" t="s">
        <v>44</v>
      </c>
      <c r="B45" s="18">
        <f>[32]SCF!C41</f>
        <v>3939718730</v>
      </c>
      <c r="C45" s="18">
        <v>1334027522.2900002</v>
      </c>
      <c r="D45" s="18">
        <f>C45-B45</f>
        <v>-2605691207.71</v>
      </c>
      <c r="E45" s="19">
        <f>IFERROR(+D45/B45*100,0)</f>
        <v>-66.139016165501744</v>
      </c>
    </row>
    <row r="46" spans="1:5" ht="15" customHeight="1" x14ac:dyDescent="0.3">
      <c r="A46" s="14" t="s">
        <v>45</v>
      </c>
      <c r="B46" s="15">
        <f>[32]SCF!C42</f>
        <v>242721906</v>
      </c>
      <c r="C46" s="15">
        <v>129697139.71999998</v>
      </c>
      <c r="D46" s="15">
        <f t="shared" ref="D46:D61" si="6">+B46-C46</f>
        <v>113024766.28000002</v>
      </c>
      <c r="E46" s="16">
        <f t="shared" ref="E46" si="7">+D46/B46*100</f>
        <v>46.565540021756426</v>
      </c>
    </row>
    <row r="47" spans="1:5" ht="15" customHeight="1" x14ac:dyDescent="0.3">
      <c r="A47" s="17" t="s">
        <v>46</v>
      </c>
      <c r="B47" s="18">
        <f>[32]SCF!C43</f>
        <v>130916604</v>
      </c>
      <c r="C47" s="18">
        <v>63231157.850000001</v>
      </c>
      <c r="D47" s="18">
        <f t="shared" si="6"/>
        <v>67685446.150000006</v>
      </c>
      <c r="E47" s="19">
        <f t="shared" ref="E47:E61" si="8">IFERROR(+D47/B47*100,0)</f>
        <v>51.701193035835246</v>
      </c>
    </row>
    <row r="48" spans="1:5" ht="15" customHeight="1" x14ac:dyDescent="0.3">
      <c r="A48" s="17" t="s">
        <v>47</v>
      </c>
      <c r="B48" s="18">
        <f>[32]SCF!C44</f>
        <v>11141033</v>
      </c>
      <c r="C48" s="18">
        <v>8770364.6399999987</v>
      </c>
      <c r="D48" s="18">
        <f t="shared" si="6"/>
        <v>2370668.3600000013</v>
      </c>
      <c r="E48" s="19">
        <f t="shared" si="8"/>
        <v>21.278712306120998</v>
      </c>
    </row>
    <row r="49" spans="1:5" ht="15" customHeight="1" x14ac:dyDescent="0.3">
      <c r="A49" s="17" t="s">
        <v>48</v>
      </c>
      <c r="B49" s="18">
        <f>[32]SCF!C45</f>
        <v>14322000</v>
      </c>
      <c r="C49" s="18">
        <v>12536406.67</v>
      </c>
      <c r="D49" s="18">
        <f t="shared" si="6"/>
        <v>1785593.33</v>
      </c>
      <c r="E49" s="19">
        <f t="shared" si="8"/>
        <v>12.467485895824607</v>
      </c>
    </row>
    <row r="50" spans="1:5" ht="15" customHeight="1" x14ac:dyDescent="0.3">
      <c r="A50" s="17" t="s">
        <v>49</v>
      </c>
      <c r="B50" s="18">
        <f>[32]SCF!C46</f>
        <v>4579200</v>
      </c>
      <c r="C50" s="18">
        <v>2750832.43</v>
      </c>
      <c r="D50" s="18">
        <f t="shared" si="6"/>
        <v>1828367.5699999998</v>
      </c>
      <c r="E50" s="19">
        <f t="shared" si="8"/>
        <v>39.927663565688327</v>
      </c>
    </row>
    <row r="51" spans="1:5" ht="15" customHeight="1" x14ac:dyDescent="0.3">
      <c r="A51" s="17" t="s">
        <v>50</v>
      </c>
      <c r="B51" s="18">
        <f>[32]SCF!C47</f>
        <v>7807069</v>
      </c>
      <c r="C51" s="18">
        <v>4659928.07</v>
      </c>
      <c r="D51" s="18">
        <f t="shared" si="6"/>
        <v>3147140.9299999997</v>
      </c>
      <c r="E51" s="19">
        <f t="shared" si="8"/>
        <v>40.311427118166876</v>
      </c>
    </row>
    <row r="52" spans="1:5" x14ac:dyDescent="0.3">
      <c r="A52" s="17" t="s">
        <v>51</v>
      </c>
      <c r="B52" s="18">
        <f>[32]SCF!C48</f>
        <v>563200</v>
      </c>
      <c r="C52" s="18">
        <v>792585.79999999993</v>
      </c>
      <c r="D52" s="18">
        <f t="shared" si="6"/>
        <v>-229385.79999999993</v>
      </c>
      <c r="E52" s="19">
        <f t="shared" si="8"/>
        <v>-40.729012784090898</v>
      </c>
    </row>
    <row r="53" spans="1:5" ht="15" customHeight="1" x14ac:dyDescent="0.3">
      <c r="A53" s="17" t="s">
        <v>52</v>
      </c>
      <c r="B53" s="18">
        <f>[32]SCF!C49</f>
        <v>3875000</v>
      </c>
      <c r="C53" s="18">
        <v>2085592.0599999998</v>
      </c>
      <c r="D53" s="18">
        <f t="shared" si="6"/>
        <v>1789407.9400000002</v>
      </c>
      <c r="E53" s="19">
        <f t="shared" si="8"/>
        <v>46.178269419354848</v>
      </c>
    </row>
    <row r="54" spans="1:5" ht="15" customHeight="1" x14ac:dyDescent="0.3">
      <c r="A54" s="17" t="s">
        <v>53</v>
      </c>
      <c r="B54" s="18">
        <f>[32]SCF!C50</f>
        <v>6300000</v>
      </c>
      <c r="C54" s="18">
        <v>1829134.4099999997</v>
      </c>
      <c r="D54" s="18">
        <f t="shared" si="6"/>
        <v>4470865.59</v>
      </c>
      <c r="E54" s="19">
        <f t="shared" si="8"/>
        <v>70.966120476190468</v>
      </c>
    </row>
    <row r="55" spans="1:5" ht="15" customHeight="1" x14ac:dyDescent="0.3">
      <c r="A55" s="17" t="s">
        <v>54</v>
      </c>
      <c r="B55" s="18">
        <f>[32]SCF!C51</f>
        <v>1968000</v>
      </c>
      <c r="C55" s="18">
        <v>839274.33</v>
      </c>
      <c r="D55" s="18">
        <f t="shared" si="6"/>
        <v>1128725.67</v>
      </c>
      <c r="E55" s="19">
        <f t="shared" si="8"/>
        <v>57.353946646341456</v>
      </c>
    </row>
    <row r="56" spans="1:5" ht="15" customHeight="1" x14ac:dyDescent="0.3">
      <c r="A56" s="17" t="s">
        <v>55</v>
      </c>
      <c r="B56" s="18">
        <f>[32]SCF!C52</f>
        <v>4490400</v>
      </c>
      <c r="C56" s="18">
        <v>2166701.92</v>
      </c>
      <c r="D56" s="18">
        <f t="shared" si="6"/>
        <v>2323698.08</v>
      </c>
      <c r="E56" s="19">
        <f t="shared" si="8"/>
        <v>51.74813112417602</v>
      </c>
    </row>
    <row r="57" spans="1:5" ht="15" customHeight="1" x14ac:dyDescent="0.3">
      <c r="A57" s="17" t="s">
        <v>56</v>
      </c>
      <c r="B57" s="18">
        <f>[32]SCF!C53</f>
        <v>29180000</v>
      </c>
      <c r="C57" s="18">
        <v>22311443.489999998</v>
      </c>
      <c r="D57" s="18">
        <f t="shared" si="6"/>
        <v>6868556.5100000016</v>
      </c>
      <c r="E57" s="19">
        <f t="shared" si="8"/>
        <v>23.538576113776564</v>
      </c>
    </row>
    <row r="58" spans="1:5" ht="15" customHeight="1" x14ac:dyDescent="0.3">
      <c r="A58" s="17" t="s">
        <v>57</v>
      </c>
      <c r="B58" s="18">
        <f>[32]SCF!C54</f>
        <v>3179000</v>
      </c>
      <c r="C58" s="18">
        <v>791365</v>
      </c>
      <c r="D58" s="18">
        <f t="shared" si="6"/>
        <v>2387635</v>
      </c>
      <c r="E58" s="19">
        <f t="shared" si="8"/>
        <v>75.106480025165141</v>
      </c>
    </row>
    <row r="59" spans="1:5" ht="15" customHeight="1" x14ac:dyDescent="0.3">
      <c r="A59" s="17" t="s">
        <v>58</v>
      </c>
      <c r="B59" s="18">
        <f>[32]SCF!C55</f>
        <v>17225000</v>
      </c>
      <c r="C59" s="18">
        <v>4255049.78</v>
      </c>
      <c r="D59" s="18">
        <f t="shared" si="6"/>
        <v>12969950.219999999</v>
      </c>
      <c r="E59" s="19">
        <f t="shared" si="8"/>
        <v>75.297243657474581</v>
      </c>
    </row>
    <row r="60" spans="1:5" ht="15" customHeight="1" x14ac:dyDescent="0.3">
      <c r="A60" s="17" t="s">
        <v>59</v>
      </c>
      <c r="B60" s="18">
        <f>[32]SCF!C56</f>
        <v>4175400</v>
      </c>
      <c r="C60" s="18">
        <v>1483404.78</v>
      </c>
      <c r="D60" s="18">
        <f t="shared" si="6"/>
        <v>2691995.2199999997</v>
      </c>
      <c r="E60" s="19">
        <f t="shared" si="8"/>
        <v>64.472750395171715</v>
      </c>
    </row>
    <row r="61" spans="1:5" ht="15" customHeight="1" x14ac:dyDescent="0.3">
      <c r="A61" s="17" t="s">
        <v>60</v>
      </c>
      <c r="B61" s="18">
        <f>[32]SCF!C57</f>
        <v>3000000</v>
      </c>
      <c r="C61" s="18">
        <v>1193898.49</v>
      </c>
      <c r="D61" s="18">
        <f t="shared" si="6"/>
        <v>1806101.51</v>
      </c>
      <c r="E61" s="19">
        <f t="shared" si="8"/>
        <v>60.203383666666667</v>
      </c>
    </row>
    <row r="62" spans="1:5" ht="15" customHeight="1" x14ac:dyDescent="0.3">
      <c r="A62" s="10" t="s">
        <v>61</v>
      </c>
      <c r="B62" s="11" t="s">
        <v>15</v>
      </c>
      <c r="C62" s="18"/>
      <c r="D62" s="11" t="s">
        <v>15</v>
      </c>
      <c r="E62" s="13" t="s">
        <v>15</v>
      </c>
    </row>
    <row r="63" spans="1:5" x14ac:dyDescent="0.3">
      <c r="A63" s="24" t="s">
        <v>62</v>
      </c>
      <c r="B63" s="18">
        <f>[32]SCF!C60</f>
        <v>17677272</v>
      </c>
      <c r="C63" s="18">
        <v>8767629.9600000009</v>
      </c>
      <c r="D63" s="18">
        <f t="shared" ref="D63:D67" si="9">C63-B63</f>
        <v>-8909642.0399999991</v>
      </c>
      <c r="E63" s="19">
        <f t="shared" ref="E63:E67" si="10">IFERROR(+D63/B63*100,0)</f>
        <v>-50.401679851959059</v>
      </c>
    </row>
    <row r="64" spans="1:5" x14ac:dyDescent="0.3">
      <c r="A64" s="24" t="s">
        <v>63</v>
      </c>
      <c r="B64" s="18">
        <f>[32]SCF!C61</f>
        <v>5846586</v>
      </c>
      <c r="C64" s="18">
        <v>2263429.17</v>
      </c>
      <c r="D64" s="18">
        <f t="shared" si="9"/>
        <v>-3583156.83</v>
      </c>
      <c r="E64" s="19">
        <f t="shared" si="10"/>
        <v>-61.286310164598625</v>
      </c>
    </row>
    <row r="65" spans="1:5" ht="15" customHeight="1" x14ac:dyDescent="0.3">
      <c r="A65" s="24" t="s">
        <v>64</v>
      </c>
      <c r="B65" s="18">
        <f>[32]SCF!C62</f>
        <v>31007537</v>
      </c>
      <c r="C65" s="18">
        <v>8870325.6799999997</v>
      </c>
      <c r="D65" s="18">
        <f t="shared" si="9"/>
        <v>-22137211.32</v>
      </c>
      <c r="E65" s="19">
        <f t="shared" si="10"/>
        <v>-71.393001385437344</v>
      </c>
    </row>
    <row r="66" spans="1:5" ht="15" customHeight="1" x14ac:dyDescent="0.3">
      <c r="A66" s="24" t="s">
        <v>65</v>
      </c>
      <c r="B66" s="18">
        <f>[32]SCF!C63</f>
        <v>119437727</v>
      </c>
      <c r="C66" s="18">
        <v>51718863.38000001</v>
      </c>
      <c r="D66" s="18">
        <f t="shared" si="9"/>
        <v>-67718863.61999999</v>
      </c>
      <c r="E66" s="19">
        <f t="shared" si="10"/>
        <v>-56.698051211239132</v>
      </c>
    </row>
    <row r="67" spans="1:5" ht="15" customHeight="1" x14ac:dyDescent="0.3">
      <c r="A67" s="24" t="s">
        <v>66</v>
      </c>
      <c r="B67" s="18">
        <f>[32]SCF!C64</f>
        <v>25000000</v>
      </c>
      <c r="C67" s="18">
        <v>0</v>
      </c>
      <c r="D67" s="18">
        <f t="shared" si="9"/>
        <v>-25000000</v>
      </c>
      <c r="E67" s="19">
        <f t="shared" si="10"/>
        <v>-100</v>
      </c>
    </row>
    <row r="68" spans="1:5" ht="15" customHeight="1" x14ac:dyDescent="0.3">
      <c r="A68" s="30" t="s">
        <v>67</v>
      </c>
      <c r="B68" s="15">
        <f>+B63+B64+B65+B66+B67</f>
        <v>198969122</v>
      </c>
      <c r="C68" s="31">
        <v>71620248.190000013</v>
      </c>
      <c r="D68" s="31">
        <f t="shared" ref="D68" si="11">+C68-B68</f>
        <v>-127348873.80999999</v>
      </c>
      <c r="E68" s="32">
        <f t="shared" ref="E68" si="12">+D68/B68*100</f>
        <v>-64.004340236270423</v>
      </c>
    </row>
    <row r="69" spans="1:5" ht="15" customHeight="1" x14ac:dyDescent="0.3">
      <c r="A69" s="10" t="s">
        <v>68</v>
      </c>
      <c r="B69" s="11" t="s">
        <v>15</v>
      </c>
      <c r="C69" s="12" t="s">
        <v>15</v>
      </c>
      <c r="D69" s="11" t="s">
        <v>15</v>
      </c>
      <c r="E69" s="13" t="s">
        <v>15</v>
      </c>
    </row>
    <row r="70" spans="1:5" ht="15" customHeight="1" x14ac:dyDescent="0.3">
      <c r="A70" s="14" t="s">
        <v>69</v>
      </c>
      <c r="B70" s="15">
        <f>[32]SCF!C67</f>
        <v>74237079</v>
      </c>
      <c r="C70" s="15">
        <v>32995519.030000001</v>
      </c>
      <c r="D70" s="15">
        <f t="shared" ref="D70:D82" si="13">+C70-B70</f>
        <v>-41241559.969999999</v>
      </c>
      <c r="E70" s="16">
        <f t="shared" ref="E70:E82" si="14">+D70/B70*100</f>
        <v>-55.553856005029509</v>
      </c>
    </row>
    <row r="71" spans="1:5" ht="15" customHeight="1" x14ac:dyDescent="0.3">
      <c r="A71" s="17" t="s">
        <v>20</v>
      </c>
      <c r="B71" s="18">
        <f>[32]SCF!C68</f>
        <v>59409655.229999997</v>
      </c>
      <c r="C71" s="18">
        <v>26291920.460000001</v>
      </c>
      <c r="D71" s="18">
        <f t="shared" si="13"/>
        <v>-33117734.769999996</v>
      </c>
      <c r="E71" s="19">
        <f t="shared" ref="E71:E81" si="15">IFERROR(+D71/B71*100,0)</f>
        <v>-55.744701163114286</v>
      </c>
    </row>
    <row r="72" spans="1:5" ht="15" customHeight="1" x14ac:dyDescent="0.3">
      <c r="A72" s="17" t="s">
        <v>21</v>
      </c>
      <c r="B72" s="18">
        <f>[32]SCF!C69</f>
        <v>566440.91</v>
      </c>
      <c r="C72" s="18">
        <v>248386.81</v>
      </c>
      <c r="D72" s="18">
        <f t="shared" si="13"/>
        <v>-318054.10000000003</v>
      </c>
      <c r="E72" s="19">
        <f t="shared" si="15"/>
        <v>-56.149563773562896</v>
      </c>
    </row>
    <row r="73" spans="1:5" ht="15" customHeight="1" x14ac:dyDescent="0.3">
      <c r="A73" s="17" t="s">
        <v>22</v>
      </c>
      <c r="B73" s="18">
        <f>[32]SCF!C70</f>
        <v>0</v>
      </c>
      <c r="C73" s="18">
        <v>4481.28</v>
      </c>
      <c r="D73" s="18">
        <f t="shared" si="13"/>
        <v>4481.28</v>
      </c>
      <c r="E73" s="19">
        <f t="shared" si="15"/>
        <v>0</v>
      </c>
    </row>
    <row r="74" spans="1:5" ht="15" customHeight="1" x14ac:dyDescent="0.3">
      <c r="A74" s="17" t="s">
        <v>70</v>
      </c>
      <c r="B74" s="18">
        <f>[32]SCF!C71</f>
        <v>0</v>
      </c>
      <c r="C74" s="18">
        <v>295113.92</v>
      </c>
      <c r="D74" s="18">
        <f t="shared" si="13"/>
        <v>295113.92</v>
      </c>
      <c r="E74" s="19">
        <f t="shared" si="15"/>
        <v>0</v>
      </c>
    </row>
    <row r="75" spans="1:5" ht="15" customHeight="1" x14ac:dyDescent="0.3">
      <c r="A75" s="17" t="s">
        <v>24</v>
      </c>
      <c r="B75" s="18">
        <f>[32]SCF!C72</f>
        <v>14260982.859999999</v>
      </c>
      <c r="C75" s="18">
        <v>6155616.5600000005</v>
      </c>
      <c r="D75" s="18">
        <f t="shared" si="13"/>
        <v>-8105366.2999999989</v>
      </c>
      <c r="E75" s="19">
        <f t="shared" si="15"/>
        <v>-56.835958499987981</v>
      </c>
    </row>
    <row r="76" spans="1:5" ht="15" customHeight="1" x14ac:dyDescent="0.3">
      <c r="A76" s="17" t="s">
        <v>25</v>
      </c>
      <c r="B76" s="18">
        <f>[32]SCF!C73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71</v>
      </c>
      <c r="B77" s="18">
        <f>[32]SCF!C74</f>
        <v>31329256</v>
      </c>
      <c r="C77" s="18">
        <v>943285.87</v>
      </c>
      <c r="D77" s="18">
        <f t="shared" ref="D77:D81" si="16">C77-B77</f>
        <v>-30385970.129999999</v>
      </c>
      <c r="E77" s="19">
        <f t="shared" si="15"/>
        <v>-96.989121382263278</v>
      </c>
    </row>
    <row r="78" spans="1:5" x14ac:dyDescent="0.3">
      <c r="A78" s="24" t="s">
        <v>72</v>
      </c>
      <c r="B78" s="18">
        <f>[32]SCF!C75</f>
        <v>41294630</v>
      </c>
      <c r="C78" s="18">
        <v>7877381.4300000016</v>
      </c>
      <c r="D78" s="18">
        <f t="shared" si="16"/>
        <v>-33417248.57</v>
      </c>
      <c r="E78" s="19">
        <f t="shared" si="15"/>
        <v>-80.92395686799955</v>
      </c>
    </row>
    <row r="79" spans="1:5" ht="15" customHeight="1" x14ac:dyDescent="0.3">
      <c r="A79" s="24" t="s">
        <v>73</v>
      </c>
      <c r="B79" s="18">
        <f>[32]SCF!C76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74</v>
      </c>
      <c r="B80" s="18">
        <f>[32]SCF!C77</f>
        <v>0</v>
      </c>
      <c r="C80" s="18">
        <v>5273.01</v>
      </c>
      <c r="D80" s="18">
        <f t="shared" si="16"/>
        <v>5273.01</v>
      </c>
      <c r="E80" s="19">
        <f t="shared" si="15"/>
        <v>0</v>
      </c>
    </row>
    <row r="81" spans="1:5" x14ac:dyDescent="0.3">
      <c r="A81" s="24" t="s">
        <v>75</v>
      </c>
      <c r="B81" s="18">
        <f>[32]SCF!C78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76</v>
      </c>
      <c r="B82" s="15">
        <f>+B70+B77+B78+B79+B80+B81</f>
        <v>146860965</v>
      </c>
      <c r="C82" s="31">
        <v>41821459.339999996</v>
      </c>
      <c r="D82" s="31">
        <f t="shared" si="13"/>
        <v>-105039505.66</v>
      </c>
      <c r="E82" s="32">
        <f t="shared" si="14"/>
        <v>-71.523093736991299</v>
      </c>
    </row>
    <row r="83" spans="1:5" ht="15" customHeight="1" x14ac:dyDescent="0.3">
      <c r="A83" s="10" t="s">
        <v>77</v>
      </c>
      <c r="B83" s="11" t="s">
        <v>15</v>
      </c>
      <c r="C83" s="12" t="s">
        <v>15</v>
      </c>
      <c r="D83" s="11" t="s">
        <v>15</v>
      </c>
      <c r="E83" s="13" t="s">
        <v>15</v>
      </c>
    </row>
    <row r="84" spans="1:5" ht="15" customHeight="1" x14ac:dyDescent="0.3">
      <c r="A84" s="24" t="s">
        <v>78</v>
      </c>
      <c r="B84" s="18">
        <f>[32]SCF!C81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79</v>
      </c>
      <c r="B85" s="18">
        <f>[32]SCF!C82</f>
        <v>205287843</v>
      </c>
      <c r="C85" s="18">
        <v>69132362.890000001</v>
      </c>
      <c r="D85" s="18">
        <f t="shared" si="17"/>
        <v>-136155480.11000001</v>
      </c>
      <c r="E85" s="19">
        <f t="shared" si="18"/>
        <v>-66.3241807796675</v>
      </c>
    </row>
    <row r="86" spans="1:5" ht="15" customHeight="1" x14ac:dyDescent="0.3">
      <c r="A86" s="24" t="s">
        <v>80</v>
      </c>
      <c r="B86" s="18">
        <f>[32]SCF!C83</f>
        <v>56605000</v>
      </c>
      <c r="C86" s="18">
        <v>0</v>
      </c>
      <c r="D86" s="18">
        <f t="shared" si="17"/>
        <v>-56605000</v>
      </c>
      <c r="E86" s="19">
        <f t="shared" si="18"/>
        <v>-100</v>
      </c>
    </row>
    <row r="87" spans="1:5" ht="15" customHeight="1" x14ac:dyDescent="0.3">
      <c r="A87" s="30" t="s">
        <v>81</v>
      </c>
      <c r="B87" s="33">
        <f>+B84+B85+B86</f>
        <v>261892843</v>
      </c>
      <c r="C87" s="31">
        <v>69132362.890000001</v>
      </c>
      <c r="D87" s="31">
        <f t="shared" si="17"/>
        <v>-192760480.11000001</v>
      </c>
      <c r="E87" s="32">
        <f>+D87/B87*100</f>
        <v>-73.602805598624172</v>
      </c>
    </row>
    <row r="88" spans="1:5" ht="18" customHeight="1" x14ac:dyDescent="0.3">
      <c r="A88" s="25" t="s">
        <v>82</v>
      </c>
      <c r="B88" s="27">
        <f>+B45+B46+B68+B82+B87</f>
        <v>4790163566</v>
      </c>
      <c r="C88" s="27">
        <v>1646298732.4300003</v>
      </c>
      <c r="D88" s="27">
        <f t="shared" si="17"/>
        <v>-3143864833.5699997</v>
      </c>
      <c r="E88" s="28">
        <f>+D88/B88*100</f>
        <v>-65.631680218286718</v>
      </c>
    </row>
    <row r="89" spans="1:5" x14ac:dyDescent="0.3">
      <c r="A89" s="29" t="s">
        <v>15</v>
      </c>
      <c r="B89" s="3"/>
      <c r="C89" s="3"/>
      <c r="D89" s="3"/>
      <c r="E89" s="3"/>
    </row>
    <row r="90" spans="1:5" ht="15" customHeight="1" x14ac:dyDescent="0.3">
      <c r="A90" s="10" t="s">
        <v>83</v>
      </c>
      <c r="B90" s="11" t="s">
        <v>15</v>
      </c>
      <c r="C90" s="12" t="s">
        <v>15</v>
      </c>
      <c r="D90" s="11" t="s">
        <v>15</v>
      </c>
      <c r="E90" s="13" t="s">
        <v>15</v>
      </c>
    </row>
    <row r="91" spans="1:5" x14ac:dyDescent="0.3">
      <c r="A91" s="24" t="s">
        <v>84</v>
      </c>
      <c r="B91" s="18">
        <f>[32]SCF!C88</f>
        <v>0</v>
      </c>
      <c r="C91" s="18">
        <v>11991350.720000001</v>
      </c>
      <c r="D91" s="18">
        <f t="shared" ref="D91:D98" si="19">+C91-B91</f>
        <v>11991350.720000001</v>
      </c>
      <c r="E91" s="19">
        <f>IFERROR(+D91/B91*100,0)</f>
        <v>0</v>
      </c>
    </row>
    <row r="92" spans="1:5" ht="15" customHeight="1" x14ac:dyDescent="0.3">
      <c r="A92" s="24" t="s">
        <v>85</v>
      </c>
      <c r="B92" s="18">
        <f>[32]SCF!C89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86</v>
      </c>
      <c r="B93" s="18">
        <f>[32]SCF!C90</f>
        <v>14000000</v>
      </c>
      <c r="C93" s="18">
        <v>6000000</v>
      </c>
      <c r="D93" s="18">
        <f t="shared" si="19"/>
        <v>-8000000</v>
      </c>
      <c r="E93" s="19">
        <f t="shared" si="20"/>
        <v>-57.142857142857139</v>
      </c>
    </row>
    <row r="94" spans="1:5" ht="15" customHeight="1" x14ac:dyDescent="0.3">
      <c r="A94" s="24" t="s">
        <v>87</v>
      </c>
      <c r="B94" s="18">
        <f>[32]SCF!C91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88</v>
      </c>
      <c r="B95" s="18">
        <f>[32]SCF!C92</f>
        <v>10000000</v>
      </c>
      <c r="C95" s="18">
        <v>0</v>
      </c>
      <c r="D95" s="18">
        <f t="shared" si="19"/>
        <v>-10000000</v>
      </c>
      <c r="E95" s="19">
        <f t="shared" si="20"/>
        <v>-100</v>
      </c>
    </row>
    <row r="96" spans="1:5" ht="15" customHeight="1" x14ac:dyDescent="0.3">
      <c r="A96" s="24" t="s">
        <v>89</v>
      </c>
      <c r="B96" s="18">
        <f>[32]SCF!C93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90</v>
      </c>
      <c r="B97" s="18">
        <f>[32]SCF!C94</f>
        <v>0</v>
      </c>
      <c r="C97" s="18">
        <v>5281082.51</v>
      </c>
      <c r="D97" s="18">
        <f t="shared" si="19"/>
        <v>5281082.51</v>
      </c>
      <c r="E97" s="19">
        <f t="shared" si="20"/>
        <v>0</v>
      </c>
    </row>
    <row r="98" spans="1:5" ht="15" customHeight="1" x14ac:dyDescent="0.3">
      <c r="A98" s="30" t="s">
        <v>91</v>
      </c>
      <c r="B98" s="33">
        <f>SUM(B91:B97)</f>
        <v>24000000</v>
      </c>
      <c r="C98" s="31">
        <v>23272433.229999997</v>
      </c>
      <c r="D98" s="31">
        <f t="shared" si="19"/>
        <v>-727566.77000000328</v>
      </c>
      <c r="E98" s="32">
        <f t="shared" ref="E98" si="21">+D98/B98*100</f>
        <v>-3.0315282083333472</v>
      </c>
    </row>
    <row r="99" spans="1:5" ht="15" customHeight="1" x14ac:dyDescent="0.3">
      <c r="A99" s="34" t="s">
        <v>92</v>
      </c>
      <c r="B99" s="35">
        <f>+B42-B88-B98</f>
        <v>-136401639</v>
      </c>
      <c r="C99" s="36">
        <v>-43794458.460000016</v>
      </c>
      <c r="D99" s="37" t="s">
        <v>15</v>
      </c>
      <c r="E99" s="38" t="s">
        <v>15</v>
      </c>
    </row>
    <row r="100" spans="1:5" ht="15" customHeight="1" x14ac:dyDescent="0.3">
      <c r="A100" s="39" t="s">
        <v>93</v>
      </c>
      <c r="B100" s="18">
        <f>[32]SCF!$C$97</f>
        <v>137152268</v>
      </c>
      <c r="C100" s="18">
        <v>137152267.56</v>
      </c>
      <c r="D100" s="40" t="s">
        <v>15</v>
      </c>
      <c r="E100" s="41" t="s">
        <v>15</v>
      </c>
    </row>
    <row r="101" spans="1:5" ht="15" customHeight="1" x14ac:dyDescent="0.3">
      <c r="A101" s="34" t="s">
        <v>94</v>
      </c>
      <c r="B101" s="35">
        <f>B99+B100</f>
        <v>750629</v>
      </c>
      <c r="C101" s="36">
        <v>93357809.099999994</v>
      </c>
      <c r="D101" s="42" t="s">
        <v>15</v>
      </c>
      <c r="E101" s="43" t="s">
        <v>15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PENELCO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+[33]SCF!$C$2</f>
        <v>PENELCO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14</v>
      </c>
      <c r="B15" s="11" t="s">
        <v>15</v>
      </c>
      <c r="C15" s="12" t="s">
        <v>15</v>
      </c>
      <c r="D15" s="11" t="s">
        <v>15</v>
      </c>
      <c r="E15" s="13" t="s">
        <v>15</v>
      </c>
    </row>
    <row r="16" spans="1:5" ht="15" customHeight="1" x14ac:dyDescent="0.3">
      <c r="A16" s="14" t="s">
        <v>16</v>
      </c>
      <c r="B16" s="15">
        <f>[33]SCF!C12</f>
        <v>6175628717</v>
      </c>
      <c r="C16" s="15">
        <v>4561530143.1599998</v>
      </c>
      <c r="D16" s="15">
        <f>+C16-B16</f>
        <v>-1614098573.8400002</v>
      </c>
      <c r="E16" s="16">
        <f t="shared" ref="E16:E42" si="0">+D16/B16*100</f>
        <v>-26.136587023063424</v>
      </c>
    </row>
    <row r="17" spans="1:5" ht="15" customHeight="1" x14ac:dyDescent="0.3">
      <c r="A17" s="17" t="s">
        <v>17</v>
      </c>
      <c r="B17" s="18">
        <f>[33]SCF!C13</f>
        <v>5528734778</v>
      </c>
      <c r="C17" s="18">
        <v>3821493562.4400001</v>
      </c>
      <c r="D17" s="18">
        <f t="shared" ref="D17:D42" si="1">+C17-B17</f>
        <v>-1707241215.5599999</v>
      </c>
      <c r="E17" s="19">
        <f t="shared" ref="E17:E18" si="2">IFERROR(+D17/B17*100,0)</f>
        <v>-30.879419688451549</v>
      </c>
    </row>
    <row r="18" spans="1:5" ht="15" customHeight="1" x14ac:dyDescent="0.3">
      <c r="A18" s="17" t="s">
        <v>18</v>
      </c>
      <c r="B18" s="18">
        <f>[33]SCF!C14</f>
        <v>202857928</v>
      </c>
      <c r="C18" s="18">
        <v>189929603.68000001</v>
      </c>
      <c r="D18" s="18">
        <f t="shared" si="1"/>
        <v>-12928324.319999993</v>
      </c>
      <c r="E18" s="19">
        <f t="shared" si="2"/>
        <v>-6.3730929559726119</v>
      </c>
    </row>
    <row r="19" spans="1:5" ht="15" customHeight="1" x14ac:dyDescent="0.3">
      <c r="A19" s="20" t="s">
        <v>19</v>
      </c>
      <c r="B19" s="15">
        <f>[33]SCF!C15</f>
        <v>221170438</v>
      </c>
      <c r="C19" s="21">
        <v>91147129.739999995</v>
      </c>
      <c r="D19" s="21">
        <f t="shared" si="1"/>
        <v>-130023308.26000001</v>
      </c>
      <c r="E19" s="22">
        <f t="shared" si="0"/>
        <v>-58.788737516539172</v>
      </c>
    </row>
    <row r="20" spans="1:5" ht="15" customHeight="1" x14ac:dyDescent="0.3">
      <c r="A20" s="23" t="s">
        <v>20</v>
      </c>
      <c r="B20" s="18">
        <f>[33]SCF!C16</f>
        <v>176995911.56</v>
      </c>
      <c r="C20" s="18">
        <v>73455892.469999999</v>
      </c>
      <c r="D20" s="18">
        <f t="shared" si="1"/>
        <v>-103540019.09</v>
      </c>
      <c r="E20" s="19">
        <f t="shared" ref="E20:E28" si="3">IFERROR(+D20/B20*100,0)</f>
        <v>-58.498537156831944</v>
      </c>
    </row>
    <row r="21" spans="1:5" ht="15" customHeight="1" x14ac:dyDescent="0.3">
      <c r="A21" s="23" t="s">
        <v>21</v>
      </c>
      <c r="B21" s="18">
        <f>[33]SCF!C17</f>
        <v>1687566.18</v>
      </c>
      <c r="C21" s="18">
        <v>676986.2699999999</v>
      </c>
      <c r="D21" s="18">
        <f t="shared" si="1"/>
        <v>-1010579.91</v>
      </c>
      <c r="E21" s="19">
        <f t="shared" si="3"/>
        <v>-59.883868376646419</v>
      </c>
    </row>
    <row r="22" spans="1:5" ht="15" customHeight="1" x14ac:dyDescent="0.3">
      <c r="A22" s="23" t="s">
        <v>22</v>
      </c>
      <c r="B22" s="18">
        <f>[33]SCF!C18</f>
        <v>0</v>
      </c>
      <c r="C22" s="18">
        <v>848.9</v>
      </c>
      <c r="D22" s="18">
        <f t="shared" si="1"/>
        <v>848.9</v>
      </c>
      <c r="E22" s="19">
        <f t="shared" si="3"/>
        <v>0</v>
      </c>
    </row>
    <row r="23" spans="1:5" ht="15" customHeight="1" x14ac:dyDescent="0.3">
      <c r="A23" s="23" t="s">
        <v>23</v>
      </c>
      <c r="B23" s="18">
        <f>[33]SCF!C19</f>
        <v>0</v>
      </c>
      <c r="C23" s="18">
        <v>22589.57</v>
      </c>
      <c r="D23" s="18">
        <f t="shared" si="1"/>
        <v>22589.57</v>
      </c>
      <c r="E23" s="19">
        <f t="shared" si="3"/>
        <v>0</v>
      </c>
    </row>
    <row r="24" spans="1:5" ht="15" customHeight="1" x14ac:dyDescent="0.3">
      <c r="A24" s="23" t="s">
        <v>24</v>
      </c>
      <c r="B24" s="18">
        <f>[33]SCF!C20</f>
        <v>42486960.259999998</v>
      </c>
      <c r="C24" s="18">
        <v>16990812.530000001</v>
      </c>
      <c r="D24" s="18">
        <f t="shared" si="1"/>
        <v>-25496147.729999997</v>
      </c>
      <c r="E24" s="19">
        <f t="shared" si="3"/>
        <v>-60.009347748051859</v>
      </c>
    </row>
    <row r="25" spans="1:5" ht="15" customHeight="1" x14ac:dyDescent="0.3">
      <c r="A25" s="23" t="s">
        <v>25</v>
      </c>
      <c r="B25" s="18">
        <f>[33]SCF!C21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26</v>
      </c>
      <c r="B26" s="18">
        <f>[33]SCF!C22</f>
        <v>77900640</v>
      </c>
      <c r="C26" s="18">
        <v>558334.91</v>
      </c>
      <c r="D26" s="18">
        <f t="shared" si="1"/>
        <v>-77342305.090000004</v>
      </c>
      <c r="E26" s="19">
        <f t="shared" si="3"/>
        <v>-99.283273012904644</v>
      </c>
    </row>
    <row r="27" spans="1:5" ht="15" customHeight="1" x14ac:dyDescent="0.3">
      <c r="A27" s="17" t="s">
        <v>27</v>
      </c>
      <c r="B27" s="18">
        <f>[33]SCF!C23</f>
        <v>143286734</v>
      </c>
      <c r="C27" s="18">
        <v>457640911.33999997</v>
      </c>
      <c r="D27" s="18">
        <f t="shared" si="1"/>
        <v>314354177.33999997</v>
      </c>
      <c r="E27" s="19">
        <f t="shared" si="3"/>
        <v>219.3881935643812</v>
      </c>
    </row>
    <row r="28" spans="1:5" ht="15" customHeight="1" x14ac:dyDescent="0.3">
      <c r="A28" s="17" t="s">
        <v>28</v>
      </c>
      <c r="B28" s="18">
        <f>[33]SCF!C24</f>
        <v>1678199</v>
      </c>
      <c r="C28" s="18">
        <v>760601.05</v>
      </c>
      <c r="D28" s="18">
        <f t="shared" si="1"/>
        <v>-917597.95</v>
      </c>
      <c r="E28" s="19">
        <f t="shared" si="3"/>
        <v>-54.677541221273515</v>
      </c>
    </row>
    <row r="29" spans="1:5" ht="15" customHeight="1" x14ac:dyDescent="0.3">
      <c r="A29" s="14" t="s">
        <v>29</v>
      </c>
      <c r="B29" s="15">
        <f>[33]SCF!C25</f>
        <v>205431554</v>
      </c>
      <c r="C29" s="15">
        <v>80321102.390000001</v>
      </c>
      <c r="D29" s="15">
        <f t="shared" si="1"/>
        <v>-125110451.61</v>
      </c>
      <c r="E29" s="16">
        <f t="shared" si="0"/>
        <v>-60.901282774699737</v>
      </c>
    </row>
    <row r="30" spans="1:5" ht="15" customHeight="1" x14ac:dyDescent="0.3">
      <c r="A30" s="17" t="s">
        <v>30</v>
      </c>
      <c r="B30" s="18">
        <f>[33]SCF!C26</f>
        <v>36462710</v>
      </c>
      <c r="C30" s="18">
        <v>25390502.100000001</v>
      </c>
      <c r="D30" s="18">
        <f t="shared" si="1"/>
        <v>-11072207.899999999</v>
      </c>
      <c r="E30" s="19">
        <f t="shared" ref="E30:E32" si="4">IFERROR(+D30/B30*100,0)</f>
        <v>-30.365839236853208</v>
      </c>
    </row>
    <row r="31" spans="1:5" ht="15" customHeight="1" x14ac:dyDescent="0.3">
      <c r="A31" s="17" t="s">
        <v>31</v>
      </c>
      <c r="B31" s="18">
        <f>[33]SCF!C27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32</v>
      </c>
      <c r="B32" s="18">
        <f>[33]SCF!C28</f>
        <v>168968844</v>
      </c>
      <c r="C32" s="18">
        <v>54930600.289999999</v>
      </c>
      <c r="D32" s="18">
        <f t="shared" si="1"/>
        <v>-114038243.71000001</v>
      </c>
      <c r="E32" s="19">
        <f t="shared" si="4"/>
        <v>-67.490692964674608</v>
      </c>
    </row>
    <row r="33" spans="1:5" x14ac:dyDescent="0.3">
      <c r="A33" s="14" t="s">
        <v>33</v>
      </c>
      <c r="B33" s="15">
        <f>[33]SCF!C29</f>
        <v>194800000</v>
      </c>
      <c r="C33" s="15">
        <v>0</v>
      </c>
      <c r="D33" s="15">
        <f t="shared" si="1"/>
        <v>-194800000</v>
      </c>
      <c r="E33" s="16">
        <f t="shared" si="0"/>
        <v>-100</v>
      </c>
    </row>
    <row r="34" spans="1:5" ht="15" customHeight="1" x14ac:dyDescent="0.3">
      <c r="A34" s="17" t="s">
        <v>34</v>
      </c>
      <c r="B34" s="18">
        <f>[33]SCF!C30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35</v>
      </c>
      <c r="B35" s="18">
        <f>[33]SCF!C31</f>
        <v>194800000</v>
      </c>
      <c r="C35" s="18">
        <v>0</v>
      </c>
      <c r="D35" s="18">
        <f t="shared" si="1"/>
        <v>-194800000</v>
      </c>
      <c r="E35" s="19">
        <f t="shared" si="5"/>
        <v>-100</v>
      </c>
    </row>
    <row r="36" spans="1:5" ht="20.399999999999999" customHeight="1" x14ac:dyDescent="0.3">
      <c r="A36" s="17" t="s">
        <v>36</v>
      </c>
      <c r="B36" s="18">
        <f>[33]SCF!C32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37</v>
      </c>
      <c r="B37" s="18">
        <f>[33]SCF!C33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38</v>
      </c>
      <c r="B38" s="18">
        <f>[33]SCF!C34</f>
        <v>41791705</v>
      </c>
      <c r="C38" s="18">
        <v>2544107.12</v>
      </c>
      <c r="D38" s="18">
        <f t="shared" si="1"/>
        <v>-39247597.880000003</v>
      </c>
      <c r="E38" s="19">
        <f t="shared" si="5"/>
        <v>-93.912411278745395</v>
      </c>
    </row>
    <row r="39" spans="1:5" ht="15" customHeight="1" x14ac:dyDescent="0.3">
      <c r="A39" s="24" t="s">
        <v>39</v>
      </c>
      <c r="B39" s="18">
        <f>[33]SCF!C35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40</v>
      </c>
      <c r="B40" s="18">
        <f>[33]SCF!C36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41</v>
      </c>
      <c r="B41" s="18">
        <f>[33]SCF!C37</f>
        <v>8499696</v>
      </c>
      <c r="C41" s="18">
        <v>6200788.9100000001</v>
      </c>
      <c r="D41" s="18">
        <f t="shared" si="1"/>
        <v>-2298907.09</v>
      </c>
      <c r="E41" s="19">
        <f t="shared" si="5"/>
        <v>-27.046933090312876</v>
      </c>
    </row>
    <row r="42" spans="1:5" ht="15" customHeight="1" x14ac:dyDescent="0.3">
      <c r="A42" s="25" t="s">
        <v>42</v>
      </c>
      <c r="B42" s="26">
        <f>[33]SCF!C38</f>
        <v>6626151672</v>
      </c>
      <c r="C42" s="27">
        <v>4650596141.5799999</v>
      </c>
      <c r="D42" s="27">
        <f t="shared" si="1"/>
        <v>-1975555530.4200001</v>
      </c>
      <c r="E42" s="28">
        <f t="shared" si="0"/>
        <v>-29.814523243831957</v>
      </c>
    </row>
    <row r="43" spans="1:5" ht="18" customHeight="1" x14ac:dyDescent="0.3">
      <c r="A43" s="29" t="s">
        <v>15</v>
      </c>
      <c r="B43" s="3"/>
      <c r="C43" s="3"/>
      <c r="D43" s="3"/>
      <c r="E43" s="3"/>
    </row>
    <row r="44" spans="1:5" ht="15" customHeight="1" x14ac:dyDescent="0.3">
      <c r="A44" s="10" t="s">
        <v>43</v>
      </c>
      <c r="B44" s="11" t="s">
        <v>15</v>
      </c>
      <c r="C44" s="12" t="s">
        <v>15</v>
      </c>
      <c r="D44" s="11" t="s">
        <v>15</v>
      </c>
      <c r="E44" s="13" t="s">
        <v>15</v>
      </c>
    </row>
    <row r="45" spans="1:5" ht="15" customHeight="1" x14ac:dyDescent="0.3">
      <c r="A45" s="24" t="s">
        <v>44</v>
      </c>
      <c r="B45" s="18">
        <f>[33]SCF!C41</f>
        <v>4871501042</v>
      </c>
      <c r="C45" s="18">
        <v>3262910209.6799998</v>
      </c>
      <c r="D45" s="18">
        <f>C45-B45</f>
        <v>-1608590832.3200002</v>
      </c>
      <c r="E45" s="19">
        <f>IFERROR(+D45/B45*100,0)</f>
        <v>-33.020434942975839</v>
      </c>
    </row>
    <row r="46" spans="1:5" ht="15" customHeight="1" x14ac:dyDescent="0.3">
      <c r="A46" s="14" t="s">
        <v>45</v>
      </c>
      <c r="B46" s="15">
        <f>[33]SCF!C42</f>
        <v>759672235</v>
      </c>
      <c r="C46" s="15">
        <v>258690615.19000003</v>
      </c>
      <c r="D46" s="15">
        <f t="shared" ref="D46:D61" si="6">+B46-C46</f>
        <v>500981619.80999994</v>
      </c>
      <c r="E46" s="16">
        <f t="shared" ref="E46" si="7">+D46/B46*100</f>
        <v>65.947075163277475</v>
      </c>
    </row>
    <row r="47" spans="1:5" ht="15" customHeight="1" x14ac:dyDescent="0.3">
      <c r="A47" s="17" t="s">
        <v>46</v>
      </c>
      <c r="B47" s="18">
        <f>[33]SCF!C43</f>
        <v>261063695</v>
      </c>
      <c r="C47" s="18">
        <v>108433038.53</v>
      </c>
      <c r="D47" s="18">
        <f t="shared" si="6"/>
        <v>152630656.47</v>
      </c>
      <c r="E47" s="19">
        <f t="shared" ref="E47:E61" si="8">IFERROR(+D47/B47*100,0)</f>
        <v>58.464910821859007</v>
      </c>
    </row>
    <row r="48" spans="1:5" ht="15" customHeight="1" x14ac:dyDescent="0.3">
      <c r="A48" s="17" t="s">
        <v>47</v>
      </c>
      <c r="B48" s="18">
        <f>[33]SCF!C44</f>
        <v>29316000</v>
      </c>
      <c r="C48" s="18">
        <v>8516042.4000000004</v>
      </c>
      <c r="D48" s="18">
        <f t="shared" si="6"/>
        <v>20799957.600000001</v>
      </c>
      <c r="E48" s="19">
        <f t="shared" si="8"/>
        <v>70.950871878837489</v>
      </c>
    </row>
    <row r="49" spans="1:5" ht="15" customHeight="1" x14ac:dyDescent="0.3">
      <c r="A49" s="17" t="s">
        <v>48</v>
      </c>
      <c r="B49" s="18">
        <f>[33]SCF!C45</f>
        <v>162795517</v>
      </c>
      <c r="C49" s="18">
        <v>24675542.560000002</v>
      </c>
      <c r="D49" s="18">
        <f t="shared" si="6"/>
        <v>138119974.44</v>
      </c>
      <c r="E49" s="19">
        <f t="shared" si="8"/>
        <v>84.842615438851425</v>
      </c>
    </row>
    <row r="50" spans="1:5" ht="15" customHeight="1" x14ac:dyDescent="0.3">
      <c r="A50" s="17" t="s">
        <v>49</v>
      </c>
      <c r="B50" s="18">
        <f>[33]SCF!C46</f>
        <v>16274116</v>
      </c>
      <c r="C50" s="18">
        <v>7778501.7000000002</v>
      </c>
      <c r="D50" s="18">
        <f t="shared" si="6"/>
        <v>8495614.3000000007</v>
      </c>
      <c r="E50" s="19">
        <f t="shared" si="8"/>
        <v>52.203230577931237</v>
      </c>
    </row>
    <row r="51" spans="1:5" ht="15" customHeight="1" x14ac:dyDescent="0.3">
      <c r="A51" s="17" t="s">
        <v>50</v>
      </c>
      <c r="B51" s="18">
        <f>[33]SCF!C47</f>
        <v>20782211</v>
      </c>
      <c r="C51" s="18">
        <v>4707929.6900000004</v>
      </c>
      <c r="D51" s="18">
        <f t="shared" si="6"/>
        <v>16074281.309999999</v>
      </c>
      <c r="E51" s="19">
        <f t="shared" si="8"/>
        <v>77.346348326460543</v>
      </c>
    </row>
    <row r="52" spans="1:5" x14ac:dyDescent="0.3">
      <c r="A52" s="17" t="s">
        <v>51</v>
      </c>
      <c r="B52" s="18">
        <f>[33]SCF!C48</f>
        <v>2414400</v>
      </c>
      <c r="C52" s="18">
        <v>713960</v>
      </c>
      <c r="D52" s="18">
        <f t="shared" si="6"/>
        <v>1700440</v>
      </c>
      <c r="E52" s="19">
        <f t="shared" si="8"/>
        <v>70.429092113982776</v>
      </c>
    </row>
    <row r="53" spans="1:5" ht="15" customHeight="1" x14ac:dyDescent="0.3">
      <c r="A53" s="17" t="s">
        <v>52</v>
      </c>
      <c r="B53" s="18">
        <f>[33]SCF!C49</f>
        <v>20000000</v>
      </c>
      <c r="C53" s="18">
        <v>9979448.2800000012</v>
      </c>
      <c r="D53" s="18">
        <f t="shared" si="6"/>
        <v>10020551.719999999</v>
      </c>
      <c r="E53" s="19">
        <f t="shared" si="8"/>
        <v>50.102758599999994</v>
      </c>
    </row>
    <row r="54" spans="1:5" ht="15" customHeight="1" x14ac:dyDescent="0.3">
      <c r="A54" s="17" t="s">
        <v>53</v>
      </c>
      <c r="B54" s="18">
        <f>[33]SCF!C50</f>
        <v>26456000</v>
      </c>
      <c r="C54" s="18">
        <v>6427975.5899999999</v>
      </c>
      <c r="D54" s="18">
        <f t="shared" si="6"/>
        <v>20028024.41</v>
      </c>
      <c r="E54" s="19">
        <f t="shared" si="8"/>
        <v>75.703146394012705</v>
      </c>
    </row>
    <row r="55" spans="1:5" ht="15" customHeight="1" x14ac:dyDescent="0.3">
      <c r="A55" s="17" t="s">
        <v>54</v>
      </c>
      <c r="B55" s="18">
        <f>[33]SCF!C51</f>
        <v>6522000</v>
      </c>
      <c r="C55" s="18">
        <v>3048095.05</v>
      </c>
      <c r="D55" s="18">
        <f t="shared" si="6"/>
        <v>3473904.95</v>
      </c>
      <c r="E55" s="19">
        <f t="shared" si="8"/>
        <v>53.264411990187064</v>
      </c>
    </row>
    <row r="56" spans="1:5" ht="15" customHeight="1" x14ac:dyDescent="0.3">
      <c r="A56" s="17" t="s">
        <v>55</v>
      </c>
      <c r="B56" s="18">
        <f>[33]SCF!C52</f>
        <v>7660800</v>
      </c>
      <c r="C56" s="18">
        <v>3250763.1799999997</v>
      </c>
      <c r="D56" s="18">
        <f t="shared" si="6"/>
        <v>4410036.82</v>
      </c>
      <c r="E56" s="19">
        <f t="shared" si="8"/>
        <v>57.566270102339189</v>
      </c>
    </row>
    <row r="57" spans="1:5" ht="15" customHeight="1" x14ac:dyDescent="0.3">
      <c r="A57" s="17" t="s">
        <v>56</v>
      </c>
      <c r="B57" s="18">
        <f>[33]SCF!C53</f>
        <v>106112968</v>
      </c>
      <c r="C57" s="18">
        <v>36218614.910000004</v>
      </c>
      <c r="D57" s="18">
        <f t="shared" si="6"/>
        <v>69894353.090000004</v>
      </c>
      <c r="E57" s="19">
        <f t="shared" si="8"/>
        <v>65.867871201190042</v>
      </c>
    </row>
    <row r="58" spans="1:5" ht="15" customHeight="1" x14ac:dyDescent="0.3">
      <c r="A58" s="17" t="s">
        <v>57</v>
      </c>
      <c r="B58" s="18">
        <f>[33]SCF!C54</f>
        <v>7500000</v>
      </c>
      <c r="C58" s="18">
        <v>1014166.84</v>
      </c>
      <c r="D58" s="18">
        <f t="shared" si="6"/>
        <v>6485833.1600000001</v>
      </c>
      <c r="E58" s="19">
        <f t="shared" si="8"/>
        <v>86.477775466666671</v>
      </c>
    </row>
    <row r="59" spans="1:5" ht="15" customHeight="1" x14ac:dyDescent="0.3">
      <c r="A59" s="17" t="s">
        <v>58</v>
      </c>
      <c r="B59" s="18">
        <f>[33]SCF!C55</f>
        <v>39100000</v>
      </c>
      <c r="C59" s="18">
        <v>5801344.2399999993</v>
      </c>
      <c r="D59" s="18">
        <f t="shared" si="6"/>
        <v>33298655.760000002</v>
      </c>
      <c r="E59" s="19">
        <f t="shared" si="8"/>
        <v>85.162802455242968</v>
      </c>
    </row>
    <row r="60" spans="1:5" ht="15" customHeight="1" x14ac:dyDescent="0.3">
      <c r="A60" s="17" t="s">
        <v>59</v>
      </c>
      <c r="B60" s="18">
        <f>[33]SCF!C56</f>
        <v>36646728</v>
      </c>
      <c r="C60" s="18">
        <v>16516512.1</v>
      </c>
      <c r="D60" s="18">
        <f t="shared" si="6"/>
        <v>20130215.899999999</v>
      </c>
      <c r="E60" s="19">
        <f t="shared" si="8"/>
        <v>54.930459003052057</v>
      </c>
    </row>
    <row r="61" spans="1:5" ht="15" customHeight="1" x14ac:dyDescent="0.3">
      <c r="A61" s="17" t="s">
        <v>60</v>
      </c>
      <c r="B61" s="18">
        <f>[33]SCF!C57</f>
        <v>17027800</v>
      </c>
      <c r="C61" s="18">
        <v>21608680.120000001</v>
      </c>
      <c r="D61" s="18">
        <f t="shared" si="6"/>
        <v>-4580880.120000001</v>
      </c>
      <c r="E61" s="19">
        <f t="shared" si="8"/>
        <v>-26.902360375386142</v>
      </c>
    </row>
    <row r="62" spans="1:5" ht="15" customHeight="1" x14ac:dyDescent="0.3">
      <c r="A62" s="10" t="s">
        <v>61</v>
      </c>
      <c r="B62" s="11" t="s">
        <v>15</v>
      </c>
      <c r="C62" s="18"/>
      <c r="D62" s="11" t="s">
        <v>15</v>
      </c>
      <c r="E62" s="13" t="s">
        <v>15</v>
      </c>
    </row>
    <row r="63" spans="1:5" x14ac:dyDescent="0.3">
      <c r="A63" s="24" t="s">
        <v>62</v>
      </c>
      <c r="B63" s="18">
        <f>[33]SCF!C60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63</v>
      </c>
      <c r="B64" s="18">
        <f>[33]SCF!C61</f>
        <v>19769505</v>
      </c>
      <c r="C64" s="18">
        <v>2585126.13</v>
      </c>
      <c r="D64" s="18">
        <f t="shared" si="9"/>
        <v>-17184378.870000001</v>
      </c>
      <c r="E64" s="19">
        <f t="shared" si="10"/>
        <v>-86.923667891532958</v>
      </c>
    </row>
    <row r="65" spans="1:5" ht="15" customHeight="1" x14ac:dyDescent="0.3">
      <c r="A65" s="24" t="s">
        <v>64</v>
      </c>
      <c r="B65" s="18">
        <f>[33]SCF!C62</f>
        <v>8084830</v>
      </c>
      <c r="C65" s="18">
        <v>4042414.9199999995</v>
      </c>
      <c r="D65" s="18">
        <f t="shared" si="9"/>
        <v>-4042415.0800000005</v>
      </c>
      <c r="E65" s="19">
        <f t="shared" si="10"/>
        <v>-50.000000989507519</v>
      </c>
    </row>
    <row r="66" spans="1:5" ht="15" customHeight="1" x14ac:dyDescent="0.3">
      <c r="A66" s="24" t="s">
        <v>65</v>
      </c>
      <c r="B66" s="18">
        <f>[33]SCF!C63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66</v>
      </c>
      <c r="B67" s="18">
        <f>[33]SCF!C64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67</v>
      </c>
      <c r="B68" s="15">
        <f>+B63+B64+B65+B66+B67</f>
        <v>27854335</v>
      </c>
      <c r="C68" s="31">
        <v>6627541.0499999989</v>
      </c>
      <c r="D68" s="31">
        <f t="shared" ref="D68" si="11">+C68-B68</f>
        <v>-21226793.950000003</v>
      </c>
      <c r="E68" s="32">
        <f t="shared" ref="E68" si="12">+D68/B68*100</f>
        <v>-76.206428730034318</v>
      </c>
    </row>
    <row r="69" spans="1:5" ht="15" customHeight="1" x14ac:dyDescent="0.3">
      <c r="A69" s="10" t="s">
        <v>68</v>
      </c>
      <c r="B69" s="11" t="s">
        <v>15</v>
      </c>
      <c r="C69" s="12" t="s">
        <v>15</v>
      </c>
      <c r="D69" s="11" t="s">
        <v>15</v>
      </c>
      <c r="E69" s="13" t="s">
        <v>15</v>
      </c>
    </row>
    <row r="70" spans="1:5" ht="15" customHeight="1" x14ac:dyDescent="0.3">
      <c r="A70" s="14" t="s">
        <v>69</v>
      </c>
      <c r="B70" s="15">
        <f>[33]SCF!C67</f>
        <v>243859495</v>
      </c>
      <c r="C70" s="15">
        <v>83565231.75</v>
      </c>
      <c r="D70" s="15">
        <f t="shared" ref="D70:D82" si="13">+C70-B70</f>
        <v>-160294263.25</v>
      </c>
      <c r="E70" s="16">
        <f t="shared" ref="E70:E82" si="14">+D70/B70*100</f>
        <v>-65.732221437594632</v>
      </c>
    </row>
    <row r="71" spans="1:5" ht="15" customHeight="1" x14ac:dyDescent="0.3">
      <c r="A71" s="17" t="s">
        <v>20</v>
      </c>
      <c r="B71" s="18">
        <f>[33]SCF!C68</f>
        <v>195153267.31999999</v>
      </c>
      <c r="C71" s="18">
        <v>66831837.789999992</v>
      </c>
      <c r="D71" s="18">
        <f t="shared" si="13"/>
        <v>-128321429.53</v>
      </c>
      <c r="E71" s="19">
        <f t="shared" ref="E71:E81" si="15">IFERROR(+D71/B71*100,0)</f>
        <v>-65.754179416113303</v>
      </c>
    </row>
    <row r="72" spans="1:5" ht="15" customHeight="1" x14ac:dyDescent="0.3">
      <c r="A72" s="17" t="s">
        <v>21</v>
      </c>
      <c r="B72" s="18">
        <f>[33]SCF!C69</f>
        <v>1860687.35</v>
      </c>
      <c r="C72" s="18">
        <v>643246.81000000006</v>
      </c>
      <c r="D72" s="18">
        <f t="shared" si="13"/>
        <v>-1217440.54</v>
      </c>
      <c r="E72" s="19">
        <f t="shared" si="15"/>
        <v>-65.429613416783866</v>
      </c>
    </row>
    <row r="73" spans="1:5" ht="15" customHeight="1" x14ac:dyDescent="0.3">
      <c r="A73" s="17" t="s">
        <v>22</v>
      </c>
      <c r="B73" s="18">
        <f>[33]SCF!C70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70</v>
      </c>
      <c r="B74" s="18">
        <f>[33]SCF!C71</f>
        <v>0</v>
      </c>
      <c r="C74" s="18">
        <v>13442.09</v>
      </c>
      <c r="D74" s="18">
        <f t="shared" si="13"/>
        <v>13442.09</v>
      </c>
      <c r="E74" s="19">
        <f t="shared" si="15"/>
        <v>0</v>
      </c>
    </row>
    <row r="75" spans="1:5" ht="15" customHeight="1" x14ac:dyDescent="0.3">
      <c r="A75" s="17" t="s">
        <v>24</v>
      </c>
      <c r="B75" s="18">
        <f>[33]SCF!C72</f>
        <v>46845540.329999998</v>
      </c>
      <c r="C75" s="18">
        <v>16076705.059999999</v>
      </c>
      <c r="D75" s="18">
        <f t="shared" si="13"/>
        <v>-30768835.27</v>
      </c>
      <c r="E75" s="19">
        <f t="shared" si="15"/>
        <v>-65.681460931502073</v>
      </c>
    </row>
    <row r="76" spans="1:5" ht="15" customHeight="1" x14ac:dyDescent="0.3">
      <c r="A76" s="17" t="s">
        <v>25</v>
      </c>
      <c r="B76" s="18">
        <f>[33]SCF!C73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71</v>
      </c>
      <c r="B77" s="18">
        <f>[33]SCF!C74</f>
        <v>77900640</v>
      </c>
      <c r="C77" s="18">
        <v>2694461.7</v>
      </c>
      <c r="D77" s="18">
        <f t="shared" ref="D77:D81" si="16">C77-B77</f>
        <v>-75206178.299999997</v>
      </c>
      <c r="E77" s="19">
        <f t="shared" si="15"/>
        <v>-96.541155887807847</v>
      </c>
    </row>
    <row r="78" spans="1:5" x14ac:dyDescent="0.3">
      <c r="A78" s="24" t="s">
        <v>72</v>
      </c>
      <c r="B78" s="18">
        <f>[33]SCF!C75</f>
        <v>143286734</v>
      </c>
      <c r="C78" s="18">
        <v>455467894.20999992</v>
      </c>
      <c r="D78" s="18">
        <f t="shared" si="16"/>
        <v>312181160.20999992</v>
      </c>
      <c r="E78" s="19">
        <f t="shared" si="15"/>
        <v>217.87164205305979</v>
      </c>
    </row>
    <row r="79" spans="1:5" ht="15" customHeight="1" x14ac:dyDescent="0.3">
      <c r="A79" s="24" t="s">
        <v>73</v>
      </c>
      <c r="B79" s="18">
        <f>[33]SCF!C76</f>
        <v>1830228</v>
      </c>
      <c r="C79" s="18">
        <v>0</v>
      </c>
      <c r="D79" s="18">
        <f t="shared" si="16"/>
        <v>-1830228</v>
      </c>
      <c r="E79" s="19">
        <f t="shared" si="15"/>
        <v>-100</v>
      </c>
    </row>
    <row r="80" spans="1:5" x14ac:dyDescent="0.3">
      <c r="A80" s="24" t="s">
        <v>74</v>
      </c>
      <c r="B80" s="18">
        <f>[33]SCF!C77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75</v>
      </c>
      <c r="B81" s="18">
        <f>[33]SCF!C78</f>
        <v>17054250</v>
      </c>
      <c r="C81" s="18">
        <v>0</v>
      </c>
      <c r="D81" s="18">
        <f t="shared" si="16"/>
        <v>-17054250</v>
      </c>
      <c r="E81" s="19">
        <f t="shared" si="15"/>
        <v>-100</v>
      </c>
    </row>
    <row r="82" spans="1:5" ht="15" customHeight="1" x14ac:dyDescent="0.3">
      <c r="A82" s="30" t="s">
        <v>76</v>
      </c>
      <c r="B82" s="15">
        <f>+B70+B77+B78+B79+B80+B81</f>
        <v>483931347</v>
      </c>
      <c r="C82" s="31">
        <v>541727587.65999997</v>
      </c>
      <c r="D82" s="31">
        <f t="shared" si="13"/>
        <v>57796240.659999967</v>
      </c>
      <c r="E82" s="32">
        <f t="shared" si="14"/>
        <v>11.943066101894814</v>
      </c>
    </row>
    <row r="83" spans="1:5" ht="15" customHeight="1" x14ac:dyDescent="0.3">
      <c r="A83" s="10" t="s">
        <v>77</v>
      </c>
      <c r="B83" s="11" t="s">
        <v>15</v>
      </c>
      <c r="C83" s="12" t="s">
        <v>15</v>
      </c>
      <c r="D83" s="11" t="s">
        <v>15</v>
      </c>
      <c r="E83" s="13" t="s">
        <v>15</v>
      </c>
    </row>
    <row r="84" spans="1:5" ht="15" customHeight="1" x14ac:dyDescent="0.3">
      <c r="A84" s="24" t="s">
        <v>78</v>
      </c>
      <c r="B84" s="18">
        <f>[33]SCF!C81</f>
        <v>41791705</v>
      </c>
      <c r="C84" s="18">
        <v>0</v>
      </c>
      <c r="D84" s="18">
        <f t="shared" ref="D84:D88" si="17">+C84-B84</f>
        <v>-41791705</v>
      </c>
      <c r="E84" s="19">
        <f t="shared" ref="E84:E86" si="18">IFERROR(+D84/B84*100,0)</f>
        <v>-100</v>
      </c>
    </row>
    <row r="85" spans="1:5" ht="15" customHeight="1" x14ac:dyDescent="0.3">
      <c r="A85" s="24" t="s">
        <v>79</v>
      </c>
      <c r="B85" s="18">
        <f>[33]SCF!C82</f>
        <v>402132241</v>
      </c>
      <c r="C85" s="18">
        <v>208833729.58000001</v>
      </c>
      <c r="D85" s="18">
        <f t="shared" si="17"/>
        <v>-193298511.41999999</v>
      </c>
      <c r="E85" s="19">
        <f t="shared" si="18"/>
        <v>-48.068394351896785</v>
      </c>
    </row>
    <row r="86" spans="1:5" ht="15" customHeight="1" x14ac:dyDescent="0.3">
      <c r="A86" s="24" t="s">
        <v>80</v>
      </c>
      <c r="B86" s="18">
        <f>[33]SCF!C83</f>
        <v>95065017</v>
      </c>
      <c r="C86" s="18">
        <v>15583431.029999999</v>
      </c>
      <c r="D86" s="18">
        <f t="shared" si="17"/>
        <v>-79481585.969999999</v>
      </c>
      <c r="E86" s="19">
        <f t="shared" si="18"/>
        <v>-83.607607170574639</v>
      </c>
    </row>
    <row r="87" spans="1:5" ht="15" customHeight="1" x14ac:dyDescent="0.3">
      <c r="A87" s="30" t="s">
        <v>81</v>
      </c>
      <c r="B87" s="33">
        <f>+B84+B85+B86</f>
        <v>538988963</v>
      </c>
      <c r="C87" s="31">
        <v>224417160.61000001</v>
      </c>
      <c r="D87" s="31">
        <f t="shared" si="17"/>
        <v>-314571802.38999999</v>
      </c>
      <c r="E87" s="32">
        <f>+D87/B87*100</f>
        <v>-58.363310565600578</v>
      </c>
    </row>
    <row r="88" spans="1:5" ht="18" customHeight="1" x14ac:dyDescent="0.3">
      <c r="A88" s="25" t="s">
        <v>82</v>
      </c>
      <c r="B88" s="27">
        <f>+B45+B46+B68+B82+B87</f>
        <v>6681947922</v>
      </c>
      <c r="C88" s="27">
        <v>4294373114.1900001</v>
      </c>
      <c r="D88" s="27">
        <f t="shared" si="17"/>
        <v>-2387574807.8099999</v>
      </c>
      <c r="E88" s="28">
        <f>+D88/B88*100</f>
        <v>-35.731718290545516</v>
      </c>
    </row>
    <row r="89" spans="1:5" x14ac:dyDescent="0.3">
      <c r="A89" s="29" t="s">
        <v>15</v>
      </c>
      <c r="B89" s="3"/>
      <c r="C89" s="3"/>
      <c r="D89" s="3"/>
      <c r="E89" s="3"/>
    </row>
    <row r="90" spans="1:5" ht="15" customHeight="1" x14ac:dyDescent="0.3">
      <c r="A90" s="10" t="s">
        <v>83</v>
      </c>
      <c r="B90" s="11" t="s">
        <v>15</v>
      </c>
      <c r="C90" s="12" t="s">
        <v>15</v>
      </c>
      <c r="D90" s="11" t="s">
        <v>15</v>
      </c>
      <c r="E90" s="13" t="s">
        <v>15</v>
      </c>
    </row>
    <row r="91" spans="1:5" x14ac:dyDescent="0.3">
      <c r="A91" s="24" t="s">
        <v>84</v>
      </c>
      <c r="B91" s="18">
        <f>[33]SCF!C88</f>
        <v>0</v>
      </c>
      <c r="C91" s="18">
        <v>0</v>
      </c>
      <c r="D91" s="18">
        <f t="shared" ref="D91:D98" si="19">+C91-B91</f>
        <v>0</v>
      </c>
      <c r="E91" s="19">
        <f>IFERROR(+D91/B91*100,0)</f>
        <v>0</v>
      </c>
    </row>
    <row r="92" spans="1:5" ht="15" customHeight="1" x14ac:dyDescent="0.3">
      <c r="A92" s="24" t="s">
        <v>85</v>
      </c>
      <c r="B92" s="18">
        <f>[33]SCF!C89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86</v>
      </c>
      <c r="B93" s="18">
        <f>[33]SCF!C90</f>
        <v>48000000</v>
      </c>
      <c r="C93" s="18">
        <v>24000000</v>
      </c>
      <c r="D93" s="18">
        <f t="shared" si="19"/>
        <v>-24000000</v>
      </c>
      <c r="E93" s="19">
        <f t="shared" si="20"/>
        <v>-50</v>
      </c>
    </row>
    <row r="94" spans="1:5" ht="15" customHeight="1" x14ac:dyDescent="0.3">
      <c r="A94" s="24" t="s">
        <v>87</v>
      </c>
      <c r="B94" s="18">
        <f>[33]SCF!C91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88</v>
      </c>
      <c r="B95" s="18">
        <f>[33]SCF!C92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89</v>
      </c>
      <c r="B96" s="18">
        <f>[33]SCF!C93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90</v>
      </c>
      <c r="B97" s="18">
        <f>[33]SCF!C94</f>
        <v>12360000</v>
      </c>
      <c r="C97" s="18">
        <v>11870</v>
      </c>
      <c r="D97" s="18">
        <f t="shared" si="19"/>
        <v>-12348130</v>
      </c>
      <c r="E97" s="19">
        <f t="shared" si="20"/>
        <v>-99.903964401294502</v>
      </c>
    </row>
    <row r="98" spans="1:5" ht="15" customHeight="1" x14ac:dyDescent="0.3">
      <c r="A98" s="30" t="s">
        <v>91</v>
      </c>
      <c r="B98" s="33">
        <f>SUM(B91:B97)</f>
        <v>60360000</v>
      </c>
      <c r="C98" s="31">
        <v>24011870</v>
      </c>
      <c r="D98" s="31">
        <f t="shared" si="19"/>
        <v>-36348130</v>
      </c>
      <c r="E98" s="32">
        <f t="shared" ref="E98" si="21">+D98/B98*100</f>
        <v>-60.218903247183562</v>
      </c>
    </row>
    <row r="99" spans="1:5" ht="15" customHeight="1" x14ac:dyDescent="0.3">
      <c r="A99" s="34" t="s">
        <v>92</v>
      </c>
      <c r="B99" s="35">
        <f>+B42-B88-B98</f>
        <v>-116156250</v>
      </c>
      <c r="C99" s="36">
        <v>332211157.38999987</v>
      </c>
      <c r="D99" s="37" t="s">
        <v>15</v>
      </c>
      <c r="E99" s="38" t="s">
        <v>15</v>
      </c>
    </row>
    <row r="100" spans="1:5" ht="15" customHeight="1" x14ac:dyDescent="0.3">
      <c r="A100" s="39" t="s">
        <v>93</v>
      </c>
      <c r="B100" s="18">
        <f>[33]SCF!$C$97</f>
        <v>334564461</v>
      </c>
      <c r="C100" s="18">
        <v>506724155.01999998</v>
      </c>
      <c r="D100" s="40" t="s">
        <v>15</v>
      </c>
      <c r="E100" s="41" t="s">
        <v>15</v>
      </c>
    </row>
    <row r="101" spans="1:5" ht="15" customHeight="1" x14ac:dyDescent="0.3">
      <c r="A101" s="34" t="s">
        <v>94</v>
      </c>
      <c r="B101" s="35">
        <f>B99+B100</f>
        <v>218408211</v>
      </c>
      <c r="C101" s="36">
        <v>838935312.40999985</v>
      </c>
      <c r="D101" s="42" t="s">
        <v>15</v>
      </c>
      <c r="E101" s="43" t="s">
        <v>15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PRESCO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+[34]SCF!$C$2</f>
        <v>PRESCO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14</v>
      </c>
      <c r="B15" s="11" t="s">
        <v>15</v>
      </c>
      <c r="C15" s="12" t="s">
        <v>15</v>
      </c>
      <c r="D15" s="11" t="s">
        <v>15</v>
      </c>
      <c r="E15" s="13" t="s">
        <v>15</v>
      </c>
    </row>
    <row r="16" spans="1:5" ht="15" customHeight="1" x14ac:dyDescent="0.3">
      <c r="A16" s="14" t="s">
        <v>16</v>
      </c>
      <c r="B16" s="15">
        <f>[34]SCF!C12</f>
        <v>1415951888</v>
      </c>
      <c r="C16" s="15">
        <v>663206584.2299999</v>
      </c>
      <c r="D16" s="15">
        <f>+C16-B16</f>
        <v>-752745303.7700001</v>
      </c>
      <c r="E16" s="16">
        <f t="shared" ref="E16:E42" si="0">+D16/B16*100</f>
        <v>-53.161785379108871</v>
      </c>
    </row>
    <row r="17" spans="1:5" ht="15" customHeight="1" x14ac:dyDescent="0.3">
      <c r="A17" s="17" t="s">
        <v>17</v>
      </c>
      <c r="B17" s="18">
        <f>[34]SCF!C13</f>
        <v>1230230615</v>
      </c>
      <c r="C17" s="18">
        <v>578458663.70999992</v>
      </c>
      <c r="D17" s="18">
        <f t="shared" ref="D17:D42" si="1">+C17-B17</f>
        <v>-651771951.29000008</v>
      </c>
      <c r="E17" s="19">
        <f t="shared" ref="E17:E18" si="2">IFERROR(+D17/B17*100,0)</f>
        <v>-52.979656280948596</v>
      </c>
    </row>
    <row r="18" spans="1:5" ht="15" customHeight="1" x14ac:dyDescent="0.3">
      <c r="A18" s="17" t="s">
        <v>18</v>
      </c>
      <c r="B18" s="18">
        <f>[34]SCF!C14</f>
        <v>20279461</v>
      </c>
      <c r="C18" s="18">
        <v>9497835.1199999992</v>
      </c>
      <c r="D18" s="18">
        <f t="shared" si="1"/>
        <v>-10781625.880000001</v>
      </c>
      <c r="E18" s="19">
        <f t="shared" si="2"/>
        <v>-53.165248721354089</v>
      </c>
    </row>
    <row r="19" spans="1:5" ht="15" customHeight="1" x14ac:dyDescent="0.3">
      <c r="A19" s="20" t="s">
        <v>19</v>
      </c>
      <c r="B19" s="15">
        <f>[34]SCF!C15</f>
        <v>17811395</v>
      </c>
      <c r="C19" s="21">
        <v>8790711.620000001</v>
      </c>
      <c r="D19" s="21">
        <f t="shared" si="1"/>
        <v>-9020683.379999999</v>
      </c>
      <c r="E19" s="22">
        <f t="shared" si="0"/>
        <v>-50.645574813202444</v>
      </c>
    </row>
    <row r="20" spans="1:5" ht="15" customHeight="1" x14ac:dyDescent="0.3">
      <c r="A20" s="23" t="s">
        <v>20</v>
      </c>
      <c r="B20" s="18">
        <f>[34]SCF!C16</f>
        <v>17811395</v>
      </c>
      <c r="C20" s="18">
        <v>8790711.620000001</v>
      </c>
      <c r="D20" s="18">
        <f t="shared" si="1"/>
        <v>-9020683.379999999</v>
      </c>
      <c r="E20" s="19">
        <f t="shared" ref="E20:E28" si="3">IFERROR(+D20/B20*100,0)</f>
        <v>-50.645574813202444</v>
      </c>
    </row>
    <row r="21" spans="1:5" ht="15" customHeight="1" x14ac:dyDescent="0.3">
      <c r="A21" s="23" t="s">
        <v>21</v>
      </c>
      <c r="B21" s="18">
        <f>[34]SCF!C17</f>
        <v>0</v>
      </c>
      <c r="C21" s="18">
        <v>0</v>
      </c>
      <c r="D21" s="18">
        <f t="shared" si="1"/>
        <v>0</v>
      </c>
      <c r="E21" s="19">
        <f t="shared" si="3"/>
        <v>0</v>
      </c>
    </row>
    <row r="22" spans="1:5" ht="15" customHeight="1" x14ac:dyDescent="0.3">
      <c r="A22" s="23" t="s">
        <v>22</v>
      </c>
      <c r="B22" s="18">
        <f>[34]SCF!C18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23</v>
      </c>
      <c r="B23" s="18">
        <f>[34]SCF!C19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24</v>
      </c>
      <c r="B24" s="18">
        <f>[34]SCF!C20</f>
        <v>0</v>
      </c>
      <c r="C24" s="18">
        <v>0</v>
      </c>
      <c r="D24" s="18">
        <f t="shared" si="1"/>
        <v>0</v>
      </c>
      <c r="E24" s="19">
        <f t="shared" si="3"/>
        <v>0</v>
      </c>
    </row>
    <row r="25" spans="1:5" ht="15" customHeight="1" x14ac:dyDescent="0.3">
      <c r="A25" s="23" t="s">
        <v>25</v>
      </c>
      <c r="B25" s="18">
        <f>[34]SCF!C21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26</v>
      </c>
      <c r="B26" s="18">
        <f>[34]SCF!C22</f>
        <v>7991113</v>
      </c>
      <c r="C26" s="18">
        <v>32180.009999999995</v>
      </c>
      <c r="D26" s="18">
        <f t="shared" si="1"/>
        <v>-7958932.9900000002</v>
      </c>
      <c r="E26" s="19">
        <f t="shared" si="3"/>
        <v>-99.597302528446292</v>
      </c>
    </row>
    <row r="27" spans="1:5" ht="15" customHeight="1" x14ac:dyDescent="0.3">
      <c r="A27" s="17" t="s">
        <v>27</v>
      </c>
      <c r="B27" s="18">
        <f>[34]SCF!C23</f>
        <v>139639304</v>
      </c>
      <c r="C27" s="18">
        <v>66427193.770000003</v>
      </c>
      <c r="D27" s="18">
        <f t="shared" si="1"/>
        <v>-73212110.229999989</v>
      </c>
      <c r="E27" s="19">
        <f t="shared" si="3"/>
        <v>-52.42944366866795</v>
      </c>
    </row>
    <row r="28" spans="1:5" ht="15" customHeight="1" x14ac:dyDescent="0.3">
      <c r="A28" s="17" t="s">
        <v>28</v>
      </c>
      <c r="B28" s="18">
        <f>[34]SCF!C24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29</v>
      </c>
      <c r="B29" s="15">
        <f>[34]SCF!C25</f>
        <v>13000000</v>
      </c>
      <c r="C29" s="15">
        <v>10772213.170000002</v>
      </c>
      <c r="D29" s="15">
        <f t="shared" si="1"/>
        <v>-2227786.8299999982</v>
      </c>
      <c r="E29" s="16">
        <f t="shared" si="0"/>
        <v>-17.136821769230757</v>
      </c>
    </row>
    <row r="30" spans="1:5" ht="15" customHeight="1" x14ac:dyDescent="0.3">
      <c r="A30" s="17" t="s">
        <v>30</v>
      </c>
      <c r="B30" s="18">
        <f>[34]SCF!C26</f>
        <v>4000000</v>
      </c>
      <c r="C30" s="18">
        <v>2419616.91</v>
      </c>
      <c r="D30" s="18">
        <f t="shared" si="1"/>
        <v>-1580383.0899999999</v>
      </c>
      <c r="E30" s="19">
        <f t="shared" ref="E30:E32" si="4">IFERROR(+D30/B30*100,0)</f>
        <v>-39.509577249999992</v>
      </c>
    </row>
    <row r="31" spans="1:5" ht="15" customHeight="1" x14ac:dyDescent="0.3">
      <c r="A31" s="17" t="s">
        <v>31</v>
      </c>
      <c r="B31" s="18">
        <f>[34]SCF!C27</f>
        <v>6000000</v>
      </c>
      <c r="C31" s="18">
        <v>8352596.2600000007</v>
      </c>
      <c r="D31" s="18">
        <f t="shared" si="1"/>
        <v>2352596.2600000007</v>
      </c>
      <c r="E31" s="19">
        <f t="shared" si="4"/>
        <v>39.209937666666676</v>
      </c>
    </row>
    <row r="32" spans="1:5" x14ac:dyDescent="0.3">
      <c r="A32" s="17" t="s">
        <v>32</v>
      </c>
      <c r="B32" s="18">
        <f>[34]SCF!C28</f>
        <v>3000000</v>
      </c>
      <c r="C32" s="18">
        <v>0</v>
      </c>
      <c r="D32" s="18">
        <f t="shared" si="1"/>
        <v>-3000000</v>
      </c>
      <c r="E32" s="19">
        <f t="shared" si="4"/>
        <v>-100</v>
      </c>
    </row>
    <row r="33" spans="1:5" x14ac:dyDescent="0.3">
      <c r="A33" s="14" t="s">
        <v>33</v>
      </c>
      <c r="B33" s="15">
        <f>[34]SCF!C29</f>
        <v>255469461</v>
      </c>
      <c r="C33" s="15">
        <v>0</v>
      </c>
      <c r="D33" s="15">
        <f t="shared" si="1"/>
        <v>-255469461</v>
      </c>
      <c r="E33" s="16">
        <f t="shared" si="0"/>
        <v>-100</v>
      </c>
    </row>
    <row r="34" spans="1:5" ht="15" customHeight="1" x14ac:dyDescent="0.3">
      <c r="A34" s="17" t="s">
        <v>34</v>
      </c>
      <c r="B34" s="18">
        <f>[34]SCF!C30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35</v>
      </c>
      <c r="B35" s="18">
        <f>[34]SCF!C31</f>
        <v>255469461</v>
      </c>
      <c r="C35" s="18">
        <v>0</v>
      </c>
      <c r="D35" s="18">
        <f t="shared" si="1"/>
        <v>-255469461</v>
      </c>
      <c r="E35" s="19">
        <f t="shared" si="5"/>
        <v>-100</v>
      </c>
    </row>
    <row r="36" spans="1:5" ht="20.399999999999999" customHeight="1" x14ac:dyDescent="0.3">
      <c r="A36" s="17" t="s">
        <v>36</v>
      </c>
      <c r="B36" s="18">
        <f>[34]SCF!C32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37</v>
      </c>
      <c r="B37" s="18">
        <f>[34]SCF!C33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38</v>
      </c>
      <c r="B38" s="18">
        <f>[34]SCF!C34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39</v>
      </c>
      <c r="B39" s="18">
        <f>[34]SCF!C35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40</v>
      </c>
      <c r="B40" s="18">
        <f>[34]SCF!C36</f>
        <v>0</v>
      </c>
      <c r="C40" s="18">
        <v>-47021005.090000011</v>
      </c>
      <c r="D40" s="18">
        <f t="shared" si="1"/>
        <v>-47021005.090000011</v>
      </c>
      <c r="E40" s="19">
        <f t="shared" si="5"/>
        <v>0</v>
      </c>
    </row>
    <row r="41" spans="1:5" ht="15" customHeight="1" x14ac:dyDescent="0.3">
      <c r="A41" s="24" t="s">
        <v>41</v>
      </c>
      <c r="B41" s="18">
        <f>[34]SCF!C37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42</v>
      </c>
      <c r="B42" s="26">
        <f>[34]SCF!C38</f>
        <v>1684421349</v>
      </c>
      <c r="C42" s="27">
        <v>626957792.30999982</v>
      </c>
      <c r="D42" s="27">
        <f t="shared" si="1"/>
        <v>-1057463556.6900002</v>
      </c>
      <c r="E42" s="28">
        <f t="shared" si="0"/>
        <v>-62.779040251288109</v>
      </c>
    </row>
    <row r="43" spans="1:5" ht="18" customHeight="1" x14ac:dyDescent="0.3">
      <c r="A43" s="29" t="s">
        <v>15</v>
      </c>
      <c r="B43" s="3"/>
      <c r="C43" s="3"/>
      <c r="D43" s="3"/>
      <c r="E43" s="3"/>
    </row>
    <row r="44" spans="1:5" ht="15" customHeight="1" x14ac:dyDescent="0.3">
      <c r="A44" s="10" t="s">
        <v>43</v>
      </c>
      <c r="B44" s="11" t="s">
        <v>15</v>
      </c>
      <c r="C44" s="12" t="s">
        <v>15</v>
      </c>
      <c r="D44" s="11" t="s">
        <v>15</v>
      </c>
      <c r="E44" s="13" t="s">
        <v>15</v>
      </c>
    </row>
    <row r="45" spans="1:5" ht="15" customHeight="1" x14ac:dyDescent="0.3">
      <c r="A45" s="24" t="s">
        <v>44</v>
      </c>
      <c r="B45" s="18">
        <f>[34]SCF!C41</f>
        <v>1047480023</v>
      </c>
      <c r="C45" s="18">
        <v>502289729.49000001</v>
      </c>
      <c r="D45" s="18">
        <f>C45-B45</f>
        <v>-545190293.50999999</v>
      </c>
      <c r="E45" s="19">
        <f>IFERROR(+D45/B45*100,0)</f>
        <v>-52.04779867291083</v>
      </c>
    </row>
    <row r="46" spans="1:5" ht="15" customHeight="1" x14ac:dyDescent="0.3">
      <c r="A46" s="14" t="s">
        <v>45</v>
      </c>
      <c r="B46" s="15">
        <f>[34]SCF!C42</f>
        <v>105021283</v>
      </c>
      <c r="C46" s="15">
        <v>34201226.789999999</v>
      </c>
      <c r="D46" s="15">
        <f t="shared" ref="D46:D61" si="6">+B46-C46</f>
        <v>70820056.210000008</v>
      </c>
      <c r="E46" s="16">
        <f t="shared" ref="E46" si="7">+D46/B46*100</f>
        <v>67.434004029449923</v>
      </c>
    </row>
    <row r="47" spans="1:5" ht="15" customHeight="1" x14ac:dyDescent="0.3">
      <c r="A47" s="17" t="s">
        <v>46</v>
      </c>
      <c r="B47" s="18">
        <f>[34]SCF!C43</f>
        <v>47429526</v>
      </c>
      <c r="C47" s="18">
        <v>18788996.93</v>
      </c>
      <c r="D47" s="18">
        <f t="shared" si="6"/>
        <v>28640529.07</v>
      </c>
      <c r="E47" s="19">
        <f t="shared" ref="E47:E61" si="8">IFERROR(+D47/B47*100,0)</f>
        <v>60.38544232974202</v>
      </c>
    </row>
    <row r="48" spans="1:5" ht="15" customHeight="1" x14ac:dyDescent="0.3">
      <c r="A48" s="17" t="s">
        <v>47</v>
      </c>
      <c r="B48" s="18">
        <f>[34]SCF!C44</f>
        <v>2775672</v>
      </c>
      <c r="C48" s="18">
        <v>1304102.5</v>
      </c>
      <c r="D48" s="18">
        <f t="shared" si="6"/>
        <v>1471569.5</v>
      </c>
      <c r="E48" s="19">
        <f t="shared" si="8"/>
        <v>53.0166928945495</v>
      </c>
    </row>
    <row r="49" spans="1:5" ht="15" customHeight="1" x14ac:dyDescent="0.3">
      <c r="A49" s="17" t="s">
        <v>48</v>
      </c>
      <c r="B49" s="18">
        <f>[34]SCF!C45</f>
        <v>10558136</v>
      </c>
      <c r="C49" s="18">
        <v>4260689.09</v>
      </c>
      <c r="D49" s="18">
        <f t="shared" si="6"/>
        <v>6297446.9100000001</v>
      </c>
      <c r="E49" s="19">
        <f t="shared" si="8"/>
        <v>59.645442244729566</v>
      </c>
    </row>
    <row r="50" spans="1:5" ht="15" customHeight="1" x14ac:dyDescent="0.3">
      <c r="A50" s="17" t="s">
        <v>49</v>
      </c>
      <c r="B50" s="18">
        <f>[34]SCF!C46</f>
        <v>931400</v>
      </c>
      <c r="C50" s="18">
        <v>145818.95000000001</v>
      </c>
      <c r="D50" s="18">
        <f t="shared" si="6"/>
        <v>785581.05</v>
      </c>
      <c r="E50" s="19">
        <f t="shared" si="8"/>
        <v>84.344111015675324</v>
      </c>
    </row>
    <row r="51" spans="1:5" ht="15" customHeight="1" x14ac:dyDescent="0.3">
      <c r="A51" s="17" t="s">
        <v>50</v>
      </c>
      <c r="B51" s="18">
        <f>[34]SCF!C47</f>
        <v>5206578</v>
      </c>
      <c r="C51" s="18">
        <v>985795.98</v>
      </c>
      <c r="D51" s="18">
        <f t="shared" si="6"/>
        <v>4220782.0199999996</v>
      </c>
      <c r="E51" s="19">
        <f t="shared" si="8"/>
        <v>81.066336084852651</v>
      </c>
    </row>
    <row r="52" spans="1:5" x14ac:dyDescent="0.3">
      <c r="A52" s="17" t="s">
        <v>51</v>
      </c>
      <c r="B52" s="18">
        <f>[34]SCF!C48</f>
        <v>1709400</v>
      </c>
      <c r="C52" s="18">
        <v>326583.15999999997</v>
      </c>
      <c r="D52" s="18">
        <f t="shared" si="6"/>
        <v>1382816.84</v>
      </c>
      <c r="E52" s="19">
        <f t="shared" si="8"/>
        <v>80.894866034866041</v>
      </c>
    </row>
    <row r="53" spans="1:5" ht="15" customHeight="1" x14ac:dyDescent="0.3">
      <c r="A53" s="17" t="s">
        <v>52</v>
      </c>
      <c r="B53" s="18">
        <f>[34]SCF!C49</f>
        <v>6739440</v>
      </c>
      <c r="C53" s="18">
        <v>858236.17</v>
      </c>
      <c r="D53" s="18">
        <f t="shared" si="6"/>
        <v>5881203.8300000001</v>
      </c>
      <c r="E53" s="19">
        <f t="shared" si="8"/>
        <v>87.26546760561709</v>
      </c>
    </row>
    <row r="54" spans="1:5" ht="15" customHeight="1" x14ac:dyDescent="0.3">
      <c r="A54" s="17" t="s">
        <v>53</v>
      </c>
      <c r="B54" s="18">
        <f>[34]SCF!C50</f>
        <v>1975000</v>
      </c>
      <c r="C54" s="18">
        <v>419651.22</v>
      </c>
      <c r="D54" s="18">
        <f t="shared" si="6"/>
        <v>1555348.78</v>
      </c>
      <c r="E54" s="19">
        <f t="shared" si="8"/>
        <v>78.751836962025322</v>
      </c>
    </row>
    <row r="55" spans="1:5" ht="15" customHeight="1" x14ac:dyDescent="0.3">
      <c r="A55" s="17" t="s">
        <v>54</v>
      </c>
      <c r="B55" s="18">
        <f>[34]SCF!C51</f>
        <v>1750800</v>
      </c>
      <c r="C55" s="18">
        <v>917487</v>
      </c>
      <c r="D55" s="18">
        <f t="shared" si="6"/>
        <v>833313</v>
      </c>
      <c r="E55" s="19">
        <f t="shared" si="8"/>
        <v>47.596127484578474</v>
      </c>
    </row>
    <row r="56" spans="1:5" ht="15" customHeight="1" x14ac:dyDescent="0.3">
      <c r="A56" s="17" t="s">
        <v>55</v>
      </c>
      <c r="B56" s="18">
        <f>[34]SCF!C52</f>
        <v>1468800</v>
      </c>
      <c r="C56" s="18">
        <v>662200</v>
      </c>
      <c r="D56" s="18">
        <f t="shared" si="6"/>
        <v>806600</v>
      </c>
      <c r="E56" s="19">
        <f t="shared" si="8"/>
        <v>54.915577342047925</v>
      </c>
    </row>
    <row r="57" spans="1:5" ht="15" customHeight="1" x14ac:dyDescent="0.3">
      <c r="A57" s="17" t="s">
        <v>56</v>
      </c>
      <c r="B57" s="18">
        <f>[34]SCF!C53</f>
        <v>5590000</v>
      </c>
      <c r="C57" s="18">
        <v>1761592.05</v>
      </c>
      <c r="D57" s="18">
        <f t="shared" si="6"/>
        <v>3828407.95</v>
      </c>
      <c r="E57" s="19">
        <f t="shared" si="8"/>
        <v>68.486725402504476</v>
      </c>
    </row>
    <row r="58" spans="1:5" ht="15" customHeight="1" x14ac:dyDescent="0.3">
      <c r="A58" s="17" t="s">
        <v>57</v>
      </c>
      <c r="B58" s="18">
        <f>[34]SCF!C54</f>
        <v>4223750</v>
      </c>
      <c r="C58" s="18">
        <v>343100</v>
      </c>
      <c r="D58" s="18">
        <f t="shared" si="6"/>
        <v>3880650</v>
      </c>
      <c r="E58" s="19">
        <f t="shared" si="8"/>
        <v>91.876886652855873</v>
      </c>
    </row>
    <row r="59" spans="1:5" ht="15" customHeight="1" x14ac:dyDescent="0.3">
      <c r="A59" s="17" t="s">
        <v>58</v>
      </c>
      <c r="B59" s="18">
        <f>[34]SCF!C55</f>
        <v>12387000</v>
      </c>
      <c r="C59" s="18">
        <v>1973334.74</v>
      </c>
      <c r="D59" s="18">
        <f t="shared" si="6"/>
        <v>10413665.26</v>
      </c>
      <c r="E59" s="19">
        <f t="shared" si="8"/>
        <v>84.069308630015342</v>
      </c>
    </row>
    <row r="60" spans="1:5" ht="15" customHeight="1" x14ac:dyDescent="0.3">
      <c r="A60" s="17" t="s">
        <v>59</v>
      </c>
      <c r="B60" s="18">
        <f>[34]SCF!C56</f>
        <v>875781</v>
      </c>
      <c r="C60" s="18">
        <v>209359.69</v>
      </c>
      <c r="D60" s="18">
        <f t="shared" si="6"/>
        <v>666421.31000000006</v>
      </c>
      <c r="E60" s="19">
        <f t="shared" si="8"/>
        <v>76.094515638041941</v>
      </c>
    </row>
    <row r="61" spans="1:5" ht="15" customHeight="1" x14ac:dyDescent="0.3">
      <c r="A61" s="17" t="s">
        <v>60</v>
      </c>
      <c r="B61" s="18">
        <f>[34]SCF!C57</f>
        <v>1400000</v>
      </c>
      <c r="C61" s="18">
        <v>1244279.31</v>
      </c>
      <c r="D61" s="18">
        <f t="shared" si="6"/>
        <v>155720.68999999994</v>
      </c>
      <c r="E61" s="19">
        <f t="shared" si="8"/>
        <v>11.122906428571424</v>
      </c>
    </row>
    <row r="62" spans="1:5" ht="15" customHeight="1" x14ac:dyDescent="0.3">
      <c r="A62" s="10" t="s">
        <v>61</v>
      </c>
      <c r="B62" s="11" t="s">
        <v>15</v>
      </c>
      <c r="C62" s="18"/>
      <c r="D62" s="11" t="s">
        <v>15</v>
      </c>
      <c r="E62" s="13" t="s">
        <v>15</v>
      </c>
    </row>
    <row r="63" spans="1:5" x14ac:dyDescent="0.3">
      <c r="A63" s="24" t="s">
        <v>62</v>
      </c>
      <c r="B63" s="18">
        <f>[34]SCF!C60</f>
        <v>22127240</v>
      </c>
      <c r="C63" s="18">
        <v>0</v>
      </c>
      <c r="D63" s="18">
        <f t="shared" ref="D63:D67" si="9">C63-B63</f>
        <v>-22127240</v>
      </c>
      <c r="E63" s="19">
        <f t="shared" ref="E63:E67" si="10">IFERROR(+D63/B63*100,0)</f>
        <v>-100</v>
      </c>
    </row>
    <row r="64" spans="1:5" x14ac:dyDescent="0.3">
      <c r="A64" s="24" t="s">
        <v>63</v>
      </c>
      <c r="B64" s="18">
        <f>[34]SCF!C61</f>
        <v>2100520</v>
      </c>
      <c r="C64" s="18">
        <v>2932923.29</v>
      </c>
      <c r="D64" s="18">
        <f t="shared" si="9"/>
        <v>832403.29</v>
      </c>
      <c r="E64" s="19">
        <f t="shared" si="10"/>
        <v>39.628439148401348</v>
      </c>
    </row>
    <row r="65" spans="1:5" ht="15" customHeight="1" x14ac:dyDescent="0.3">
      <c r="A65" s="24" t="s">
        <v>64</v>
      </c>
      <c r="B65" s="18">
        <f>[34]SCF!C62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65</v>
      </c>
      <c r="B66" s="18">
        <f>[34]SCF!C63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66</v>
      </c>
      <c r="B67" s="18">
        <f>[34]SCF!C64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67</v>
      </c>
      <c r="B68" s="15">
        <f>+B63+B64+B65+B66+B67</f>
        <v>24227760</v>
      </c>
      <c r="C68" s="31">
        <v>2932923.29</v>
      </c>
      <c r="D68" s="31">
        <f t="shared" ref="D68" si="11">+C68-B68</f>
        <v>-21294836.710000001</v>
      </c>
      <c r="E68" s="32">
        <f t="shared" ref="E68" si="12">+D68/B68*100</f>
        <v>-87.894368732396231</v>
      </c>
    </row>
    <row r="69" spans="1:5" ht="15" customHeight="1" x14ac:dyDescent="0.3">
      <c r="A69" s="10" t="s">
        <v>68</v>
      </c>
      <c r="B69" s="11" t="s">
        <v>15</v>
      </c>
      <c r="C69" s="12" t="s">
        <v>15</v>
      </c>
      <c r="D69" s="11" t="s">
        <v>15</v>
      </c>
      <c r="E69" s="13" t="s">
        <v>15</v>
      </c>
    </row>
    <row r="70" spans="1:5" ht="15" customHeight="1" x14ac:dyDescent="0.3">
      <c r="A70" s="14" t="s">
        <v>69</v>
      </c>
      <c r="B70" s="15">
        <f>[34]SCF!C67</f>
        <v>17811395</v>
      </c>
      <c r="C70" s="15">
        <v>8144589.3700000001</v>
      </c>
      <c r="D70" s="15">
        <f t="shared" ref="D70:D82" si="13">+C70-B70</f>
        <v>-9666805.629999999</v>
      </c>
      <c r="E70" s="16">
        <f t="shared" ref="E70:E82" si="14">+D70/B70*100</f>
        <v>-54.273152832779239</v>
      </c>
    </row>
    <row r="71" spans="1:5" ht="15" customHeight="1" x14ac:dyDescent="0.3">
      <c r="A71" s="17" t="s">
        <v>20</v>
      </c>
      <c r="B71" s="18">
        <f>[34]SCF!C68</f>
        <v>17811395</v>
      </c>
      <c r="C71" s="18">
        <v>8144589.3700000001</v>
      </c>
      <c r="D71" s="18">
        <f t="shared" si="13"/>
        <v>-9666805.629999999</v>
      </c>
      <c r="E71" s="19">
        <f t="shared" ref="E71:E81" si="15">IFERROR(+D71/B71*100,0)</f>
        <v>-54.273152832779239</v>
      </c>
    </row>
    <row r="72" spans="1:5" ht="15" customHeight="1" x14ac:dyDescent="0.3">
      <c r="A72" s="17" t="s">
        <v>21</v>
      </c>
      <c r="B72" s="18">
        <f>[34]SCF!C69</f>
        <v>0</v>
      </c>
      <c r="C72" s="18">
        <v>0</v>
      </c>
      <c r="D72" s="18">
        <f t="shared" si="13"/>
        <v>0</v>
      </c>
      <c r="E72" s="19">
        <f t="shared" si="15"/>
        <v>0</v>
      </c>
    </row>
    <row r="73" spans="1:5" ht="15" customHeight="1" x14ac:dyDescent="0.3">
      <c r="A73" s="17" t="s">
        <v>22</v>
      </c>
      <c r="B73" s="18">
        <f>[34]SCF!C70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70</v>
      </c>
      <c r="B74" s="18">
        <f>[34]SCF!C71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24</v>
      </c>
      <c r="B75" s="18">
        <f>[34]SCF!C72</f>
        <v>0</v>
      </c>
      <c r="C75" s="18">
        <v>0</v>
      </c>
      <c r="D75" s="18">
        <f t="shared" si="13"/>
        <v>0</v>
      </c>
      <c r="E75" s="19">
        <f t="shared" si="15"/>
        <v>0</v>
      </c>
    </row>
    <row r="76" spans="1:5" ht="15" customHeight="1" x14ac:dyDescent="0.3">
      <c r="A76" s="17" t="s">
        <v>25</v>
      </c>
      <c r="B76" s="18">
        <f>[34]SCF!C73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71</v>
      </c>
      <c r="B77" s="18">
        <f>[34]SCF!C74</f>
        <v>14246881</v>
      </c>
      <c r="C77" s="18">
        <v>238614.33</v>
      </c>
      <c r="D77" s="18">
        <f t="shared" ref="D77:D81" si="16">C77-B77</f>
        <v>-14008266.67</v>
      </c>
      <c r="E77" s="19">
        <f t="shared" si="15"/>
        <v>-98.325146886536075</v>
      </c>
    </row>
    <row r="78" spans="1:5" x14ac:dyDescent="0.3">
      <c r="A78" s="24" t="s">
        <v>72</v>
      </c>
      <c r="B78" s="18">
        <f>[34]SCF!C75</f>
        <v>139639304</v>
      </c>
      <c r="C78" s="18">
        <v>59238491.289999999</v>
      </c>
      <c r="D78" s="18">
        <f t="shared" si="16"/>
        <v>-80400812.710000008</v>
      </c>
      <c r="E78" s="19">
        <f t="shared" si="15"/>
        <v>-57.57749459278314</v>
      </c>
    </row>
    <row r="79" spans="1:5" ht="15" customHeight="1" x14ac:dyDescent="0.3">
      <c r="A79" s="24" t="s">
        <v>73</v>
      </c>
      <c r="B79" s="18">
        <f>[34]SCF!C76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74</v>
      </c>
      <c r="B80" s="18">
        <f>[34]SCF!C77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75</v>
      </c>
      <c r="B81" s="18">
        <f>[34]SCF!C78</f>
        <v>0</v>
      </c>
      <c r="C81" s="18">
        <v>650587.98</v>
      </c>
      <c r="D81" s="18">
        <f t="shared" si="16"/>
        <v>650587.98</v>
      </c>
      <c r="E81" s="19">
        <f t="shared" si="15"/>
        <v>0</v>
      </c>
    </row>
    <row r="82" spans="1:5" ht="15" customHeight="1" x14ac:dyDescent="0.3">
      <c r="A82" s="30" t="s">
        <v>76</v>
      </c>
      <c r="B82" s="15">
        <f>+B70+B77+B78+B79+B80+B81</f>
        <v>171697580</v>
      </c>
      <c r="C82" s="31">
        <v>68272282.969999999</v>
      </c>
      <c r="D82" s="31">
        <f t="shared" si="13"/>
        <v>-103425297.03</v>
      </c>
      <c r="E82" s="32">
        <f t="shared" si="14"/>
        <v>-60.236898522390362</v>
      </c>
    </row>
    <row r="83" spans="1:5" ht="15" customHeight="1" x14ac:dyDescent="0.3">
      <c r="A83" s="10" t="s">
        <v>77</v>
      </c>
      <c r="B83" s="11" t="s">
        <v>15</v>
      </c>
      <c r="C83" s="12" t="s">
        <v>15</v>
      </c>
      <c r="D83" s="11" t="s">
        <v>15</v>
      </c>
      <c r="E83" s="13" t="s">
        <v>15</v>
      </c>
    </row>
    <row r="84" spans="1:5" ht="15" customHeight="1" x14ac:dyDescent="0.3">
      <c r="A84" s="24" t="s">
        <v>78</v>
      </c>
      <c r="B84" s="18">
        <f>[34]SCF!C81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79</v>
      </c>
      <c r="B85" s="18">
        <f>[34]SCF!C82</f>
        <v>211007761</v>
      </c>
      <c r="C85" s="18">
        <v>11057127.84</v>
      </c>
      <c r="D85" s="18">
        <f t="shared" si="17"/>
        <v>-199950633.16</v>
      </c>
      <c r="E85" s="19">
        <f t="shared" si="18"/>
        <v>-94.759847795361424</v>
      </c>
    </row>
    <row r="86" spans="1:5" ht="15" customHeight="1" x14ac:dyDescent="0.3">
      <c r="A86" s="24" t="s">
        <v>80</v>
      </c>
      <c r="B86" s="18">
        <f>[34]SCF!C83</f>
        <v>44461700</v>
      </c>
      <c r="C86" s="18">
        <v>1641614.34</v>
      </c>
      <c r="D86" s="18">
        <f t="shared" si="17"/>
        <v>-42820085.659999996</v>
      </c>
      <c r="E86" s="19">
        <f t="shared" si="18"/>
        <v>-96.307801231171979</v>
      </c>
    </row>
    <row r="87" spans="1:5" ht="15" customHeight="1" x14ac:dyDescent="0.3">
      <c r="A87" s="30" t="s">
        <v>81</v>
      </c>
      <c r="B87" s="33">
        <f>+B84+B85+B86</f>
        <v>255469461</v>
      </c>
      <c r="C87" s="31">
        <v>12698742.18</v>
      </c>
      <c r="D87" s="31">
        <f t="shared" si="17"/>
        <v>-242770718.81999999</v>
      </c>
      <c r="E87" s="32">
        <f>+D87/B87*100</f>
        <v>-95.029252369229368</v>
      </c>
    </row>
    <row r="88" spans="1:5" ht="18" customHeight="1" x14ac:dyDescent="0.3">
      <c r="A88" s="25" t="s">
        <v>82</v>
      </c>
      <c r="B88" s="27">
        <f>+B45+B46+B68+B82+B87</f>
        <v>1603896107</v>
      </c>
      <c r="C88" s="27">
        <v>620394904.72000003</v>
      </c>
      <c r="D88" s="27">
        <f t="shared" si="17"/>
        <v>-983501202.27999997</v>
      </c>
      <c r="E88" s="28">
        <f>+D88/B88*100</f>
        <v>-61.319508039681267</v>
      </c>
    </row>
    <row r="89" spans="1:5" x14ac:dyDescent="0.3">
      <c r="A89" s="29" t="s">
        <v>15</v>
      </c>
      <c r="B89" s="3"/>
      <c r="C89" s="3"/>
      <c r="D89" s="3"/>
      <c r="E89" s="3"/>
    </row>
    <row r="90" spans="1:5" ht="15" customHeight="1" x14ac:dyDescent="0.3">
      <c r="A90" s="10" t="s">
        <v>83</v>
      </c>
      <c r="B90" s="11" t="s">
        <v>15</v>
      </c>
      <c r="C90" s="12" t="s">
        <v>15</v>
      </c>
      <c r="D90" s="11" t="s">
        <v>15</v>
      </c>
      <c r="E90" s="13" t="s">
        <v>15</v>
      </c>
    </row>
    <row r="91" spans="1:5" x14ac:dyDescent="0.3">
      <c r="A91" s="24" t="s">
        <v>84</v>
      </c>
      <c r="B91" s="18">
        <f>[34]SCF!C88</f>
        <v>20279461</v>
      </c>
      <c r="C91" s="18">
        <v>3365</v>
      </c>
      <c r="D91" s="18">
        <f t="shared" ref="D91:D98" si="19">+C91-B91</f>
        <v>-20276096</v>
      </c>
      <c r="E91" s="19">
        <f>IFERROR(+D91/B91*100,0)</f>
        <v>-99.983406856819329</v>
      </c>
    </row>
    <row r="92" spans="1:5" ht="15" customHeight="1" x14ac:dyDescent="0.3">
      <c r="A92" s="24" t="s">
        <v>85</v>
      </c>
      <c r="B92" s="18">
        <f>[34]SCF!C89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86</v>
      </c>
      <c r="B93" s="18">
        <f>[34]SCF!C90</f>
        <v>30000000</v>
      </c>
      <c r="C93" s="18">
        <v>0</v>
      </c>
      <c r="D93" s="18">
        <f t="shared" si="19"/>
        <v>-30000000</v>
      </c>
      <c r="E93" s="19">
        <f t="shared" si="20"/>
        <v>-100</v>
      </c>
    </row>
    <row r="94" spans="1:5" ht="15" customHeight="1" x14ac:dyDescent="0.3">
      <c r="A94" s="24" t="s">
        <v>87</v>
      </c>
      <c r="B94" s="18">
        <f>[34]SCF!C91</f>
        <v>1000000</v>
      </c>
      <c r="C94" s="18">
        <v>0</v>
      </c>
      <c r="D94" s="18">
        <f t="shared" si="19"/>
        <v>-1000000</v>
      </c>
      <c r="E94" s="19">
        <f t="shared" si="20"/>
        <v>-100</v>
      </c>
    </row>
    <row r="95" spans="1:5" ht="15" customHeight="1" x14ac:dyDescent="0.3">
      <c r="A95" s="24" t="s">
        <v>88</v>
      </c>
      <c r="B95" s="18">
        <f>[34]SCF!C92</f>
        <v>2000000</v>
      </c>
      <c r="C95" s="18">
        <v>0</v>
      </c>
      <c r="D95" s="18">
        <f t="shared" si="19"/>
        <v>-2000000</v>
      </c>
      <c r="E95" s="19">
        <f t="shared" si="20"/>
        <v>-100</v>
      </c>
    </row>
    <row r="96" spans="1:5" ht="15" customHeight="1" x14ac:dyDescent="0.3">
      <c r="A96" s="24" t="s">
        <v>89</v>
      </c>
      <c r="B96" s="18">
        <f>[34]SCF!C93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90</v>
      </c>
      <c r="B97" s="18">
        <f>[34]SCF!C94</f>
        <v>4000000</v>
      </c>
      <c r="C97" s="18">
        <v>0</v>
      </c>
      <c r="D97" s="18">
        <f t="shared" si="19"/>
        <v>-4000000</v>
      </c>
      <c r="E97" s="19">
        <f t="shared" si="20"/>
        <v>-100</v>
      </c>
    </row>
    <row r="98" spans="1:5" ht="15" customHeight="1" x14ac:dyDescent="0.3">
      <c r="A98" s="30" t="s">
        <v>91</v>
      </c>
      <c r="B98" s="33">
        <f>SUM(B91:B97)</f>
        <v>57279461</v>
      </c>
      <c r="C98" s="31">
        <v>3365</v>
      </c>
      <c r="D98" s="31">
        <f t="shared" si="19"/>
        <v>-57276096</v>
      </c>
      <c r="E98" s="32">
        <f t="shared" ref="E98" si="21">+D98/B98*100</f>
        <v>-99.994125293881524</v>
      </c>
    </row>
    <row r="99" spans="1:5" ht="15" customHeight="1" x14ac:dyDescent="0.3">
      <c r="A99" s="34" t="s">
        <v>92</v>
      </c>
      <c r="B99" s="35">
        <f>+B42-B88-B98</f>
        <v>23245781</v>
      </c>
      <c r="C99" s="36">
        <v>6559522.589999795</v>
      </c>
      <c r="D99" s="37" t="s">
        <v>15</v>
      </c>
      <c r="E99" s="38" t="s">
        <v>15</v>
      </c>
    </row>
    <row r="100" spans="1:5" ht="15" customHeight="1" x14ac:dyDescent="0.3">
      <c r="A100" s="39" t="s">
        <v>93</v>
      </c>
      <c r="B100" s="18">
        <f>[34]SCF!$C$97</f>
        <v>37999678</v>
      </c>
      <c r="C100" s="18">
        <v>30698978.190000001</v>
      </c>
      <c r="D100" s="40" t="s">
        <v>15</v>
      </c>
      <c r="E100" s="41" t="s">
        <v>15</v>
      </c>
    </row>
    <row r="101" spans="1:5" ht="15" customHeight="1" x14ac:dyDescent="0.3">
      <c r="A101" s="34" t="s">
        <v>94</v>
      </c>
      <c r="B101" s="35">
        <f>B99+B100</f>
        <v>61245459</v>
      </c>
      <c r="C101" s="36">
        <v>37258500.779999793</v>
      </c>
      <c r="D101" s="42" t="s">
        <v>15</v>
      </c>
      <c r="E101" s="43" t="s">
        <v>15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AURELCO</vt:lpstr>
      <vt:lpstr>NEECO I</vt:lpstr>
      <vt:lpstr>NEECO II A1</vt:lpstr>
      <vt:lpstr>NEECO II A2</vt:lpstr>
      <vt:lpstr>PELCO I</vt:lpstr>
      <vt:lpstr>PELCO II</vt:lpstr>
      <vt:lpstr>PELCO III</vt:lpstr>
      <vt:lpstr>PENELCO</vt:lpstr>
      <vt:lpstr>PRESCO</vt:lpstr>
      <vt:lpstr>SAJELCO</vt:lpstr>
      <vt:lpstr>TARELCO 1</vt:lpstr>
      <vt:lpstr>TARELCO 1I</vt:lpstr>
      <vt:lpstr>ZAMECO I</vt:lpstr>
      <vt:lpstr>ZAMECO II</vt:lpstr>
      <vt:lpstr>AURELCO!Print_Titles</vt:lpstr>
      <vt:lpstr>'NEECO I'!Print_Titles</vt:lpstr>
      <vt:lpstr>'NEECO II A1'!Print_Titles</vt:lpstr>
      <vt:lpstr>'NEECO II A2'!Print_Titles</vt:lpstr>
      <vt:lpstr>'PELCO I'!Print_Titles</vt:lpstr>
      <vt:lpstr>'PELCO II'!Print_Titles</vt:lpstr>
      <vt:lpstr>'PELCO III'!Print_Titles</vt:lpstr>
      <vt:lpstr>PENELCO!Print_Titles</vt:lpstr>
      <vt:lpstr>PRESCO!Print_Titles</vt:lpstr>
      <vt:lpstr>SAJELCO!Print_Titles</vt:lpstr>
      <vt:lpstr>'TARELCO 1'!Print_Titles</vt:lpstr>
      <vt:lpstr>'TARELCO 1I'!Print_Titles</vt:lpstr>
      <vt:lpstr>'ZAMECO I'!Print_Titles</vt:lpstr>
      <vt:lpstr>'ZAMECO II'!Print_Titles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2024-03-07T07:17:36Z</dcterms:created>
  <dcterms:modified xsi:type="dcterms:W3CDTF">2024-03-07T07:35:16Z</dcterms:modified>
</cp:coreProperties>
</file>